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en_skoroszyt"/>
  <mc:AlternateContent xmlns:mc="http://schemas.openxmlformats.org/markup-compatibility/2006">
    <mc:Choice Requires="x15">
      <x15ac:absPath xmlns:x15ac="http://schemas.microsoft.com/office/spreadsheetml/2010/11/ac" url="C:\Users\Krzysztof\Desktop\Kalkulator\v 1.3\Prod\xlsx\"/>
    </mc:Choice>
  </mc:AlternateContent>
  <xr:revisionPtr revIDLastSave="0" documentId="13_ncr:1_{2DDCA424-1031-479F-9672-5F27702615FA}" xr6:coauthVersionLast="47" xr6:coauthVersionMax="47" xr10:uidLastSave="{00000000-0000-0000-0000-000000000000}"/>
  <bookViews>
    <workbookView xWindow="7335" yWindow="1095" windowWidth="38700" windowHeight="15345" tabRatio="670" activeTab="1" xr2:uid="{00000000-000D-0000-FFFF-FFFF00000000}"/>
  </bookViews>
  <sheets>
    <sheet name="Jak_używać" sheetId="13" r:id="rId1"/>
    <sheet name="Auto_1" sheetId="12" r:id="rId2"/>
    <sheet name="Koszty Firmy" sheetId="3" r:id="rId3"/>
    <sheet name="Wyniki" sheetId="4" r:id="rId4"/>
    <sheet name="WYKRESY"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467" i="12" l="1"/>
  <c r="S460" i="12"/>
  <c r="R460" i="12"/>
  <c r="R428" i="12"/>
  <c r="S421" i="12"/>
  <c r="R421" i="12"/>
  <c r="R389" i="12"/>
  <c r="S382" i="12"/>
  <c r="R382" i="12"/>
  <c r="R350" i="12"/>
  <c r="S343" i="12"/>
  <c r="R343" i="12"/>
  <c r="R311" i="12"/>
  <c r="S304" i="12"/>
  <c r="R304" i="12"/>
  <c r="R272" i="12"/>
  <c r="S265" i="12"/>
  <c r="R265" i="12"/>
  <c r="R233" i="12"/>
  <c r="S226" i="12"/>
  <c r="R226" i="12"/>
  <c r="R194" i="12"/>
  <c r="S187" i="12"/>
  <c r="R187" i="12"/>
  <c r="R155" i="12"/>
  <c r="S148" i="12"/>
  <c r="R148" i="12"/>
  <c r="R116" i="12"/>
  <c r="S109" i="12"/>
  <c r="R109" i="12"/>
  <c r="R77" i="12"/>
  <c r="S70" i="12"/>
  <c r="R70" i="12"/>
  <c r="R38" i="12"/>
  <c r="AQ5" i="4"/>
  <c r="AP5" i="4"/>
  <c r="AO5" i="4"/>
  <c r="AN5" i="4"/>
  <c r="AM5" i="4"/>
  <c r="AJ5" i="4"/>
  <c r="AI5" i="4"/>
  <c r="AK5" i="4"/>
  <c r="AH5" i="4"/>
  <c r="AL5" i="4"/>
  <c r="AG5" i="4"/>
  <c r="BA5" i="4" s="1"/>
  <c r="AF5" i="4"/>
  <c r="AZ5" i="4" s="1"/>
  <c r="AE5" i="4" l="1"/>
  <c r="AY5" i="4" s="1"/>
  <c r="AD5" i="4"/>
  <c r="AX5" i="4" s="1"/>
  <c r="D6" i="4"/>
  <c r="D7" i="4"/>
  <c r="D8" i="4"/>
  <c r="D9" i="4"/>
  <c r="D10" i="4"/>
  <c r="D11" i="4"/>
  <c r="D12" i="4"/>
  <c r="D13" i="4"/>
  <c r="D14" i="4"/>
  <c r="D15" i="4"/>
  <c r="D16" i="4"/>
  <c r="D5" i="4"/>
  <c r="AB13" i="4" l="1"/>
  <c r="AB6" i="4"/>
  <c r="J3" i="3"/>
  <c r="AB9" i="4"/>
  <c r="P3" i="3"/>
  <c r="AB12" i="4"/>
  <c r="H3" i="3"/>
  <c r="AB8" i="4"/>
  <c r="V3" i="3"/>
  <c r="AB15" i="4"/>
  <c r="N3" i="3"/>
  <c r="AB11" i="4"/>
  <c r="F3" i="3"/>
  <c r="AB7" i="4"/>
  <c r="Z3" i="3"/>
  <c r="AB17" i="4"/>
  <c r="X3" i="3"/>
  <c r="AB16" i="4"/>
  <c r="T3" i="3"/>
  <c r="AB14" i="4"/>
  <c r="L3" i="3"/>
  <c r="AB10" i="4"/>
  <c r="R3" i="3"/>
  <c r="D3" i="3"/>
  <c r="AP16" i="4" l="1"/>
  <c r="AM16" i="4"/>
  <c r="AO16" i="4"/>
  <c r="AQ16" i="4"/>
  <c r="AN16" i="4"/>
  <c r="AP17" i="4"/>
  <c r="AM17" i="4"/>
  <c r="AO17" i="4"/>
  <c r="AQ17" i="4"/>
  <c r="AN17" i="4"/>
  <c r="AP8" i="4"/>
  <c r="AM8" i="4"/>
  <c r="AO8" i="4"/>
  <c r="AQ8" i="4"/>
  <c r="AN8" i="4"/>
  <c r="AO13" i="4"/>
  <c r="AQ13" i="4"/>
  <c r="AN13" i="4"/>
  <c r="AP13" i="4"/>
  <c r="AM13" i="4"/>
  <c r="AN10" i="4"/>
  <c r="AP10" i="4"/>
  <c r="AM10" i="4"/>
  <c r="AO10" i="4"/>
  <c r="AQ10" i="4"/>
  <c r="AM7" i="4"/>
  <c r="AO7" i="4"/>
  <c r="AQ7" i="4"/>
  <c r="AN7" i="4"/>
  <c r="AP7" i="4"/>
  <c r="AQ12" i="4"/>
  <c r="AN12" i="4"/>
  <c r="AP12" i="4"/>
  <c r="AM12" i="4"/>
  <c r="AO12" i="4"/>
  <c r="AQ6" i="4"/>
  <c r="AP6" i="4"/>
  <c r="AO6" i="4"/>
  <c r="AN6" i="4"/>
  <c r="AM6" i="4"/>
  <c r="AM15" i="4"/>
  <c r="AO15" i="4"/>
  <c r="AQ15" i="4"/>
  <c r="AN15" i="4"/>
  <c r="AP15" i="4"/>
  <c r="AO14" i="4"/>
  <c r="AQ14" i="4"/>
  <c r="AN14" i="4"/>
  <c r="AP14" i="4"/>
  <c r="AM14" i="4"/>
  <c r="AQ11" i="4"/>
  <c r="AN11" i="4"/>
  <c r="AP11" i="4"/>
  <c r="AM11" i="4"/>
  <c r="AO11" i="4"/>
  <c r="AP9" i="4"/>
  <c r="AM9" i="4"/>
  <c r="AO9" i="4"/>
  <c r="AQ9" i="4"/>
  <c r="AN9" i="4"/>
  <c r="AH11" i="4"/>
  <c r="AJ11" i="4"/>
  <c r="AL11" i="4"/>
  <c r="AI11" i="4"/>
  <c r="AK11" i="4"/>
  <c r="AL16" i="4"/>
  <c r="AI16" i="4"/>
  <c r="AK16" i="4"/>
  <c r="AH16" i="4"/>
  <c r="AJ16" i="4"/>
  <c r="AL15" i="4"/>
  <c r="AI15" i="4"/>
  <c r="AK15" i="4"/>
  <c r="AH15" i="4"/>
  <c r="AJ15" i="4"/>
  <c r="AJ10" i="4"/>
  <c r="AL10" i="4"/>
  <c r="AI10" i="4"/>
  <c r="AK10" i="4"/>
  <c r="AH10" i="4"/>
  <c r="AL7" i="4"/>
  <c r="AI7" i="4"/>
  <c r="AK7" i="4"/>
  <c r="AH7" i="4"/>
  <c r="AJ7" i="4"/>
  <c r="AK12" i="4"/>
  <c r="AH12" i="4"/>
  <c r="AJ12" i="4"/>
  <c r="AL12" i="4"/>
  <c r="AI12" i="4"/>
  <c r="AK6" i="4"/>
  <c r="AJ6" i="4"/>
  <c r="AI6" i="4"/>
  <c r="AH6" i="4"/>
  <c r="AL6" i="4"/>
  <c r="AJ17" i="4"/>
  <c r="AL17" i="4"/>
  <c r="AI17" i="4"/>
  <c r="AK17" i="4"/>
  <c r="AH17" i="4"/>
  <c r="AL8" i="4"/>
  <c r="AI8" i="4"/>
  <c r="AK8" i="4"/>
  <c r="AH8" i="4"/>
  <c r="AJ8" i="4"/>
  <c r="AK13" i="4"/>
  <c r="AH13" i="4"/>
  <c r="AJ13" i="4"/>
  <c r="AL13" i="4"/>
  <c r="AI13" i="4"/>
  <c r="AI14" i="4"/>
  <c r="AK14" i="4"/>
  <c r="AH14" i="4"/>
  <c r="AJ14" i="4"/>
  <c r="AL14" i="4"/>
  <c r="AJ9" i="4"/>
  <c r="AL9" i="4"/>
  <c r="AI9" i="4"/>
  <c r="AK9" i="4"/>
  <c r="AH9" i="4"/>
  <c r="AG16" i="4"/>
  <c r="AE16" i="4"/>
  <c r="AV16" i="4"/>
  <c r="AF16" i="4"/>
  <c r="AD16" i="4"/>
  <c r="AF15" i="4"/>
  <c r="AD15" i="4"/>
  <c r="AV15" i="4"/>
  <c r="AE15" i="4"/>
  <c r="AF13" i="4"/>
  <c r="AD13" i="4"/>
  <c r="AE13" i="4"/>
  <c r="AV13" i="4"/>
  <c r="AG13" i="4"/>
  <c r="AF14" i="4"/>
  <c r="AD14" i="4"/>
  <c r="AV14" i="4"/>
  <c r="AE14" i="4"/>
  <c r="AG14" i="4"/>
  <c r="AV11" i="4"/>
  <c r="AE11" i="4"/>
  <c r="AG11" i="4"/>
  <c r="AF11" i="4"/>
  <c r="AD11" i="4"/>
  <c r="AE9" i="4"/>
  <c r="AG9" i="4"/>
  <c r="AF9" i="4"/>
  <c r="AV9" i="4"/>
  <c r="AD9" i="4"/>
  <c r="AG17" i="4"/>
  <c r="AE17" i="4"/>
  <c r="AF17" i="4"/>
  <c r="AD17" i="4"/>
  <c r="AV17" i="4"/>
  <c r="AE8" i="4"/>
  <c r="AG8" i="4"/>
  <c r="AV8" i="4"/>
  <c r="AF8" i="4"/>
  <c r="AD8" i="4"/>
  <c r="AE10" i="4"/>
  <c r="AG10" i="4"/>
  <c r="AF10" i="4"/>
  <c r="AD10" i="4"/>
  <c r="AV10" i="4"/>
  <c r="AG7" i="4"/>
  <c r="AF7" i="4"/>
  <c r="AD7" i="4"/>
  <c r="AV7" i="4"/>
  <c r="AE7" i="4"/>
  <c r="AF12" i="4"/>
  <c r="AD12" i="4"/>
  <c r="AV12" i="4"/>
  <c r="AG12" i="4"/>
  <c r="AE12" i="4"/>
  <c r="AG6" i="4"/>
  <c r="AE6" i="4"/>
  <c r="AF6" i="4"/>
  <c r="AD6" i="4"/>
  <c r="AV6" i="4"/>
  <c r="AG15" i="4"/>
  <c r="A17" i="12"/>
  <c r="E17" i="12" s="1"/>
  <c r="A16" i="12"/>
  <c r="E16" i="12" s="1"/>
  <c r="A15" i="12"/>
  <c r="E15" i="12" s="1"/>
  <c r="A14" i="12"/>
  <c r="E14" i="12" s="1"/>
  <c r="A13" i="12"/>
  <c r="E13" i="12" s="1"/>
  <c r="A12" i="12"/>
  <c r="E12" i="12" s="1"/>
  <c r="A11" i="12"/>
  <c r="E11" i="12" s="1"/>
  <c r="A10" i="12"/>
  <c r="E10" i="12" s="1"/>
  <c r="A9" i="12"/>
  <c r="E9" i="12" s="1"/>
  <c r="A8" i="12"/>
  <c r="E8" i="12" s="1"/>
  <c r="A7" i="12"/>
  <c r="E7" i="12" s="1"/>
  <c r="H82" i="12"/>
  <c r="H121" i="12"/>
  <c r="H160" i="12"/>
  <c r="H199" i="12"/>
  <c r="H238" i="12"/>
  <c r="H277" i="12"/>
  <c r="H43" i="12" l="1"/>
  <c r="H45" i="12" s="1"/>
  <c r="H46" i="12" s="1"/>
  <c r="H47" i="12" s="1"/>
  <c r="H48" i="12" s="1"/>
  <c r="H49" i="12" s="1"/>
  <c r="H50" i="12" s="1"/>
  <c r="H51" i="12" s="1"/>
  <c r="H52" i="12" s="1"/>
  <c r="H53" i="12" s="1"/>
  <c r="H54" i="12" s="1"/>
  <c r="H55" i="12" s="1"/>
  <c r="H56" i="12" s="1"/>
  <c r="H57" i="12" s="1"/>
  <c r="H58" i="12" s="1"/>
  <c r="H59" i="12" s="1"/>
  <c r="H60" i="12" s="1"/>
  <c r="H61" i="12" s="1"/>
  <c r="H62" i="12" s="1"/>
  <c r="H63" i="12" s="1"/>
  <c r="H64" i="12" s="1"/>
  <c r="H65" i="12" s="1"/>
  <c r="H66" i="12" s="1"/>
  <c r="H67" i="12" s="1"/>
  <c r="H68" i="12" s="1"/>
  <c r="H69" i="12" s="1"/>
  <c r="H70" i="12" s="1"/>
  <c r="H71" i="12" s="1"/>
  <c r="H72" i="12" s="1"/>
  <c r="H73" i="12" s="1"/>
  <c r="H74" i="12" s="1"/>
  <c r="H75" i="12" s="1"/>
  <c r="H316" i="12"/>
  <c r="H318" i="12" s="1"/>
  <c r="H319" i="12" s="1"/>
  <c r="H320" i="12" s="1"/>
  <c r="H321" i="12" s="1"/>
  <c r="H322" i="12" s="1"/>
  <c r="H323" i="12" s="1"/>
  <c r="H324" i="12" s="1"/>
  <c r="H325" i="12" s="1"/>
  <c r="H326" i="12" s="1"/>
  <c r="H327" i="12" s="1"/>
  <c r="H328" i="12" s="1"/>
  <c r="H329" i="12" s="1"/>
  <c r="H330" i="12" s="1"/>
  <c r="H331" i="12" s="1"/>
  <c r="H332" i="12" s="1"/>
  <c r="H333" i="12" s="1"/>
  <c r="H334" i="12" s="1"/>
  <c r="H335" i="12" s="1"/>
  <c r="H336" i="12" s="1"/>
  <c r="H337" i="12" s="1"/>
  <c r="H338" i="12" s="1"/>
  <c r="H339" i="12" s="1"/>
  <c r="H340" i="12" s="1"/>
  <c r="H341" i="12" s="1"/>
  <c r="H342" i="12" s="1"/>
  <c r="H343" i="12" s="1"/>
  <c r="H344" i="12" s="1"/>
  <c r="H345" i="12" s="1"/>
  <c r="H346" i="12" s="1"/>
  <c r="H347" i="12" s="1"/>
  <c r="H348" i="12" s="1"/>
  <c r="H355" i="12"/>
  <c r="H357" i="12" s="1"/>
  <c r="H358" i="12" s="1"/>
  <c r="H359" i="12" s="1"/>
  <c r="H360" i="12" s="1"/>
  <c r="H361" i="12" s="1"/>
  <c r="H362" i="12" s="1"/>
  <c r="H363" i="12" s="1"/>
  <c r="H364" i="12" s="1"/>
  <c r="H365" i="12" s="1"/>
  <c r="H366" i="12" s="1"/>
  <c r="H367" i="12" s="1"/>
  <c r="H368" i="12" s="1"/>
  <c r="H369" i="12" s="1"/>
  <c r="H370" i="12" s="1"/>
  <c r="H371" i="12" s="1"/>
  <c r="H372" i="12" s="1"/>
  <c r="H373" i="12" s="1"/>
  <c r="H374" i="12" s="1"/>
  <c r="H375" i="12" s="1"/>
  <c r="H376" i="12" s="1"/>
  <c r="H377" i="12" s="1"/>
  <c r="H378" i="12" s="1"/>
  <c r="H379" i="12" s="1"/>
  <c r="H380" i="12" s="1"/>
  <c r="H381" i="12" s="1"/>
  <c r="H382" i="12" s="1"/>
  <c r="H383" i="12" s="1"/>
  <c r="H384" i="12" s="1"/>
  <c r="H385" i="12" s="1"/>
  <c r="H386" i="12" s="1"/>
  <c r="H387" i="12" s="1"/>
  <c r="H394" i="12"/>
  <c r="H396" i="12" s="1"/>
  <c r="H397" i="12" s="1"/>
  <c r="H398" i="12" s="1"/>
  <c r="H399" i="12" s="1"/>
  <c r="H400" i="12" s="1"/>
  <c r="H401" i="12" s="1"/>
  <c r="H402" i="12" s="1"/>
  <c r="H403" i="12" s="1"/>
  <c r="H404" i="12" s="1"/>
  <c r="H405" i="12" s="1"/>
  <c r="H406" i="12" s="1"/>
  <c r="H407" i="12" s="1"/>
  <c r="H408" i="12" s="1"/>
  <c r="H409" i="12" s="1"/>
  <c r="H410" i="12" s="1"/>
  <c r="H411" i="12" s="1"/>
  <c r="H412" i="12" s="1"/>
  <c r="H413" i="12" s="1"/>
  <c r="H414" i="12" s="1"/>
  <c r="H415" i="12" s="1"/>
  <c r="H416" i="12" s="1"/>
  <c r="H417" i="12" s="1"/>
  <c r="H418" i="12" s="1"/>
  <c r="H419" i="12" s="1"/>
  <c r="H420" i="12" s="1"/>
  <c r="H421" i="12" s="1"/>
  <c r="H422" i="12" s="1"/>
  <c r="H423" i="12" s="1"/>
  <c r="H424" i="12" s="1"/>
  <c r="H425" i="12" s="1"/>
  <c r="H426" i="12" s="1"/>
  <c r="H433" i="12"/>
  <c r="H435" i="12" s="1"/>
  <c r="H436" i="12" s="1"/>
  <c r="H437" i="12" s="1"/>
  <c r="H438" i="12" s="1"/>
  <c r="H439" i="12" s="1"/>
  <c r="H440" i="12" s="1"/>
  <c r="H441" i="12" s="1"/>
  <c r="H442" i="12" s="1"/>
  <c r="H443" i="12" s="1"/>
  <c r="H444" i="12" s="1"/>
  <c r="H445" i="12" s="1"/>
  <c r="H446" i="12" s="1"/>
  <c r="H447" i="12" s="1"/>
  <c r="H448" i="12" s="1"/>
  <c r="H449" i="12" s="1"/>
  <c r="H450" i="12" s="1"/>
  <c r="H451" i="12" s="1"/>
  <c r="H452" i="12" s="1"/>
  <c r="H453" i="12" s="1"/>
  <c r="H454" i="12" s="1"/>
  <c r="H455" i="12" s="1"/>
  <c r="H456" i="12" s="1"/>
  <c r="H457" i="12" s="1"/>
  <c r="H458" i="12" s="1"/>
  <c r="H459" i="12" s="1"/>
  <c r="H460" i="12" s="1"/>
  <c r="H461" i="12" s="1"/>
  <c r="H462" i="12" s="1"/>
  <c r="H463" i="12" s="1"/>
  <c r="H464" i="12" s="1"/>
  <c r="H465" i="12" s="1"/>
  <c r="M467" i="12"/>
  <c r="R468" i="12" s="1"/>
  <c r="L467" i="12"/>
  <c r="K467" i="12"/>
  <c r="N465" i="12"/>
  <c r="N464" i="12"/>
  <c r="N463" i="12"/>
  <c r="N462" i="12"/>
  <c r="N461" i="12"/>
  <c r="N460" i="12"/>
  <c r="N459" i="12"/>
  <c r="N458" i="12"/>
  <c r="N457" i="12"/>
  <c r="N456" i="12"/>
  <c r="N455" i="12"/>
  <c r="N454" i="12"/>
  <c r="N453" i="12"/>
  <c r="N452" i="12"/>
  <c r="N451" i="12"/>
  <c r="N450" i="12"/>
  <c r="N449" i="12"/>
  <c r="N448" i="12"/>
  <c r="N447" i="12"/>
  <c r="N446" i="12"/>
  <c r="N445" i="12"/>
  <c r="N444" i="12"/>
  <c r="N443" i="12"/>
  <c r="N442" i="12"/>
  <c r="N441" i="12"/>
  <c r="N440" i="12"/>
  <c r="N439" i="12"/>
  <c r="N438" i="12"/>
  <c r="N437" i="12"/>
  <c r="N436" i="12"/>
  <c r="N435" i="12"/>
  <c r="M428" i="12"/>
  <c r="R429" i="12" s="1"/>
  <c r="L428" i="12"/>
  <c r="K428" i="12"/>
  <c r="N426" i="12"/>
  <c r="N425" i="12"/>
  <c r="N424" i="12"/>
  <c r="N423" i="12"/>
  <c r="N422" i="12"/>
  <c r="N421" i="12"/>
  <c r="N420" i="12"/>
  <c r="N419" i="12"/>
  <c r="N418" i="12"/>
  <c r="N417" i="12"/>
  <c r="N416" i="12"/>
  <c r="N415" i="12"/>
  <c r="N414" i="12"/>
  <c r="N413" i="12"/>
  <c r="N412" i="12"/>
  <c r="N411" i="12"/>
  <c r="N410" i="12"/>
  <c r="N409" i="12"/>
  <c r="N408" i="12"/>
  <c r="N407" i="12"/>
  <c r="N406" i="12"/>
  <c r="N405" i="12"/>
  <c r="N404" i="12"/>
  <c r="N403" i="12"/>
  <c r="N402" i="12"/>
  <c r="N401" i="12"/>
  <c r="N400" i="12"/>
  <c r="N399" i="12"/>
  <c r="N398" i="12"/>
  <c r="N397" i="12"/>
  <c r="N396" i="12"/>
  <c r="M389" i="12"/>
  <c r="R390" i="12" s="1"/>
  <c r="L389" i="12"/>
  <c r="K389" i="12"/>
  <c r="N387" i="12"/>
  <c r="N386" i="12"/>
  <c r="N385" i="12"/>
  <c r="N384" i="12"/>
  <c r="N383" i="12"/>
  <c r="N382" i="12"/>
  <c r="N381" i="12"/>
  <c r="N380" i="12"/>
  <c r="N379" i="12"/>
  <c r="N378" i="12"/>
  <c r="N377" i="12"/>
  <c r="N376" i="12"/>
  <c r="N375" i="12"/>
  <c r="N374" i="12"/>
  <c r="N373" i="12"/>
  <c r="N372" i="12"/>
  <c r="N371" i="12"/>
  <c r="N370" i="12"/>
  <c r="N369" i="12"/>
  <c r="N368" i="12"/>
  <c r="N367" i="12"/>
  <c r="N366" i="12"/>
  <c r="N365" i="12"/>
  <c r="N364" i="12"/>
  <c r="N363" i="12"/>
  <c r="N362" i="12"/>
  <c r="N361" i="12"/>
  <c r="N360" i="12"/>
  <c r="N359" i="12"/>
  <c r="N358" i="12"/>
  <c r="N357" i="12"/>
  <c r="M350" i="12"/>
  <c r="R351" i="12" s="1"/>
  <c r="L350" i="12"/>
  <c r="K350" i="12"/>
  <c r="N348" i="12"/>
  <c r="N347" i="12"/>
  <c r="N346" i="12"/>
  <c r="N345" i="12"/>
  <c r="N344" i="12"/>
  <c r="N343" i="12"/>
  <c r="N342" i="12"/>
  <c r="N341" i="12"/>
  <c r="N340" i="12"/>
  <c r="N339" i="12"/>
  <c r="N338" i="12"/>
  <c r="N337" i="12"/>
  <c r="N336" i="12"/>
  <c r="N335" i="12"/>
  <c r="N334" i="12"/>
  <c r="N333" i="12"/>
  <c r="N332" i="12"/>
  <c r="N331" i="12"/>
  <c r="N330" i="12"/>
  <c r="N329" i="12"/>
  <c r="N328" i="12"/>
  <c r="N327" i="12"/>
  <c r="N326" i="12"/>
  <c r="N325" i="12"/>
  <c r="N324" i="12"/>
  <c r="N323" i="12"/>
  <c r="N322" i="12"/>
  <c r="N321" i="12"/>
  <c r="N320" i="12"/>
  <c r="N319" i="12"/>
  <c r="N318" i="12"/>
  <c r="M311" i="12"/>
  <c r="R312" i="12" s="1"/>
  <c r="L311" i="12"/>
  <c r="K311" i="12"/>
  <c r="N309" i="12"/>
  <c r="N308" i="12"/>
  <c r="N307" i="12"/>
  <c r="N306" i="12"/>
  <c r="N305" i="12"/>
  <c r="N304" i="12"/>
  <c r="N303" i="12"/>
  <c r="N302" i="12"/>
  <c r="N301" i="12"/>
  <c r="N300" i="12"/>
  <c r="N299" i="12"/>
  <c r="N298" i="12"/>
  <c r="N297" i="12"/>
  <c r="N296" i="12"/>
  <c r="N295" i="12"/>
  <c r="N294" i="12"/>
  <c r="N293" i="12"/>
  <c r="N292" i="12"/>
  <c r="N291" i="12"/>
  <c r="N290" i="12"/>
  <c r="N289" i="12"/>
  <c r="N288" i="12"/>
  <c r="N287" i="12"/>
  <c r="N286" i="12"/>
  <c r="N285" i="12"/>
  <c r="N284" i="12"/>
  <c r="N283" i="12"/>
  <c r="N282" i="12"/>
  <c r="N281" i="12"/>
  <c r="N280" i="12"/>
  <c r="N279" i="12"/>
  <c r="H279" i="12"/>
  <c r="H280" i="12" s="1"/>
  <c r="H281" i="12" s="1"/>
  <c r="H282" i="12" s="1"/>
  <c r="H283" i="12" s="1"/>
  <c r="H284" i="12" s="1"/>
  <c r="H285" i="12" s="1"/>
  <c r="H286" i="12" s="1"/>
  <c r="H287" i="12" s="1"/>
  <c r="H288" i="12" s="1"/>
  <c r="H289" i="12" s="1"/>
  <c r="H290" i="12" s="1"/>
  <c r="H291" i="12" s="1"/>
  <c r="H292" i="12" s="1"/>
  <c r="H293" i="12" s="1"/>
  <c r="H294" i="12" s="1"/>
  <c r="H295" i="12" s="1"/>
  <c r="H296" i="12" s="1"/>
  <c r="H297" i="12" s="1"/>
  <c r="H298" i="12" s="1"/>
  <c r="H299" i="12" s="1"/>
  <c r="H300" i="12" s="1"/>
  <c r="H301" i="12" s="1"/>
  <c r="H302" i="12" s="1"/>
  <c r="H303" i="12" s="1"/>
  <c r="H304" i="12" s="1"/>
  <c r="H305" i="12" s="1"/>
  <c r="H306" i="12" s="1"/>
  <c r="H307" i="12" s="1"/>
  <c r="H308" i="12" s="1"/>
  <c r="H309" i="12" s="1"/>
  <c r="M272" i="12"/>
  <c r="R273" i="12" s="1"/>
  <c r="L272" i="12"/>
  <c r="K272" i="12"/>
  <c r="N270" i="12"/>
  <c r="N269" i="12"/>
  <c r="N268" i="12"/>
  <c r="N267" i="12"/>
  <c r="N266" i="12"/>
  <c r="N265" i="12"/>
  <c r="N264" i="12"/>
  <c r="N263" i="12"/>
  <c r="N262" i="12"/>
  <c r="N261" i="12"/>
  <c r="N260" i="12"/>
  <c r="N259" i="12"/>
  <c r="N258" i="12"/>
  <c r="N257" i="12"/>
  <c r="N256" i="12"/>
  <c r="N255" i="12"/>
  <c r="N254" i="12"/>
  <c r="N253" i="12"/>
  <c r="N252" i="12"/>
  <c r="N251" i="12"/>
  <c r="N250" i="12"/>
  <c r="N249" i="12"/>
  <c r="N248" i="12"/>
  <c r="N247" i="12"/>
  <c r="N246" i="12"/>
  <c r="N245" i="12"/>
  <c r="N244" i="12"/>
  <c r="N243" i="12"/>
  <c r="N242" i="12"/>
  <c r="N241" i="12"/>
  <c r="N240" i="12"/>
  <c r="H240" i="12"/>
  <c r="H241" i="12" s="1"/>
  <c r="H242" i="12" s="1"/>
  <c r="H243" i="12" s="1"/>
  <c r="H244" i="12" s="1"/>
  <c r="H245" i="12" s="1"/>
  <c r="H246" i="12" s="1"/>
  <c r="H247" i="12" s="1"/>
  <c r="H248" i="12" s="1"/>
  <c r="H249" i="12" s="1"/>
  <c r="H250" i="12" s="1"/>
  <c r="H251" i="12" s="1"/>
  <c r="H252" i="12" s="1"/>
  <c r="H253" i="12" s="1"/>
  <c r="H254" i="12" s="1"/>
  <c r="H255" i="12" s="1"/>
  <c r="H256" i="12" s="1"/>
  <c r="H257" i="12" s="1"/>
  <c r="H258" i="12" s="1"/>
  <c r="H259" i="12" s="1"/>
  <c r="H260" i="12" s="1"/>
  <c r="H261" i="12" s="1"/>
  <c r="H262" i="12" s="1"/>
  <c r="H263" i="12" s="1"/>
  <c r="H264" i="12" s="1"/>
  <c r="H265" i="12" s="1"/>
  <c r="H266" i="12" s="1"/>
  <c r="H267" i="12" s="1"/>
  <c r="H268" i="12" s="1"/>
  <c r="H269" i="12" s="1"/>
  <c r="H270" i="12" s="1"/>
  <c r="M233" i="12"/>
  <c r="R234" i="12" s="1"/>
  <c r="L233" i="12"/>
  <c r="K233" i="12"/>
  <c r="N231" i="12"/>
  <c r="N230" i="12"/>
  <c r="N229" i="12"/>
  <c r="N228" i="12"/>
  <c r="N227" i="12"/>
  <c r="N226" i="12"/>
  <c r="N225" i="12"/>
  <c r="N224" i="12"/>
  <c r="N223" i="12"/>
  <c r="N222" i="12"/>
  <c r="N221" i="12"/>
  <c r="N220" i="12"/>
  <c r="N219" i="12"/>
  <c r="N218" i="12"/>
  <c r="N217" i="12"/>
  <c r="N216" i="12"/>
  <c r="N215" i="12"/>
  <c r="N214" i="12"/>
  <c r="N213" i="12"/>
  <c r="N212" i="12"/>
  <c r="N211" i="12"/>
  <c r="N210" i="12"/>
  <c r="N209" i="12"/>
  <c r="N208" i="12"/>
  <c r="N207" i="12"/>
  <c r="N206" i="12"/>
  <c r="N205" i="12"/>
  <c r="N204" i="12"/>
  <c r="N203" i="12"/>
  <c r="N202" i="12"/>
  <c r="N201" i="12"/>
  <c r="H201" i="12"/>
  <c r="H202" i="12" s="1"/>
  <c r="H203" i="12" s="1"/>
  <c r="H204" i="12" s="1"/>
  <c r="H205" i="12" s="1"/>
  <c r="H206" i="12" s="1"/>
  <c r="H207" i="12" s="1"/>
  <c r="H208" i="12" s="1"/>
  <c r="H209" i="12" s="1"/>
  <c r="H210" i="12" s="1"/>
  <c r="H211" i="12" s="1"/>
  <c r="H212" i="12" s="1"/>
  <c r="H213" i="12" s="1"/>
  <c r="H214" i="12" s="1"/>
  <c r="H215" i="12" s="1"/>
  <c r="H216" i="12" s="1"/>
  <c r="H217" i="12" s="1"/>
  <c r="H218" i="12" s="1"/>
  <c r="H219" i="12" s="1"/>
  <c r="H220" i="12" s="1"/>
  <c r="H221" i="12" s="1"/>
  <c r="H222" i="12" s="1"/>
  <c r="H223" i="12" s="1"/>
  <c r="H224" i="12" s="1"/>
  <c r="H225" i="12" s="1"/>
  <c r="H226" i="12" s="1"/>
  <c r="H227" i="12" s="1"/>
  <c r="H228" i="12" s="1"/>
  <c r="H229" i="12" s="1"/>
  <c r="H230" i="12" s="1"/>
  <c r="H231" i="12" s="1"/>
  <c r="M194" i="12"/>
  <c r="R195" i="12" s="1"/>
  <c r="L194" i="12"/>
  <c r="K194" i="12"/>
  <c r="N192" i="12"/>
  <c r="N191" i="12"/>
  <c r="N190" i="12"/>
  <c r="N189" i="12"/>
  <c r="N188" i="12"/>
  <c r="N187" i="12"/>
  <c r="N186" i="12"/>
  <c r="N185" i="12"/>
  <c r="N184" i="12"/>
  <c r="N183" i="12"/>
  <c r="N182" i="12"/>
  <c r="N181" i="12"/>
  <c r="N180" i="12"/>
  <c r="N179" i="12"/>
  <c r="N178" i="12"/>
  <c r="N177" i="12"/>
  <c r="N176" i="12"/>
  <c r="N175" i="12"/>
  <c r="N174" i="12"/>
  <c r="N173" i="12"/>
  <c r="N172" i="12"/>
  <c r="N171" i="12"/>
  <c r="N170" i="12"/>
  <c r="N169" i="12"/>
  <c r="N168" i="12"/>
  <c r="N167" i="12"/>
  <c r="N166" i="12"/>
  <c r="N165" i="12"/>
  <c r="N164" i="12"/>
  <c r="N163" i="12"/>
  <c r="N162" i="12"/>
  <c r="H162" i="12"/>
  <c r="H163" i="12" s="1"/>
  <c r="H164" i="12" s="1"/>
  <c r="H165" i="12" s="1"/>
  <c r="H166" i="12" s="1"/>
  <c r="H167" i="12" s="1"/>
  <c r="H168" i="12" s="1"/>
  <c r="H169" i="12" s="1"/>
  <c r="H170" i="12" s="1"/>
  <c r="H171" i="12" s="1"/>
  <c r="H172" i="12" s="1"/>
  <c r="H173" i="12" s="1"/>
  <c r="H174" i="12" s="1"/>
  <c r="H175" i="12" s="1"/>
  <c r="H176" i="12" s="1"/>
  <c r="H177" i="12" s="1"/>
  <c r="H178" i="12" s="1"/>
  <c r="H179" i="12" s="1"/>
  <c r="H180" i="12" s="1"/>
  <c r="H181" i="12" s="1"/>
  <c r="H182" i="12" s="1"/>
  <c r="H183" i="12" s="1"/>
  <c r="H184" i="12" s="1"/>
  <c r="H185" i="12" s="1"/>
  <c r="H186" i="12" s="1"/>
  <c r="H187" i="12" s="1"/>
  <c r="H188" i="12" s="1"/>
  <c r="H189" i="12" s="1"/>
  <c r="H190" i="12" s="1"/>
  <c r="H191" i="12" s="1"/>
  <c r="H192" i="12" s="1"/>
  <c r="M155" i="12"/>
  <c r="R156" i="12" s="1"/>
  <c r="L155" i="12"/>
  <c r="K155" i="12"/>
  <c r="N153" i="12"/>
  <c r="N152" i="12"/>
  <c r="N151" i="12"/>
  <c r="N150" i="12"/>
  <c r="N149" i="12"/>
  <c r="N148" i="12"/>
  <c r="N147" i="12"/>
  <c r="N146" i="12"/>
  <c r="N145" i="12"/>
  <c r="N144" i="12"/>
  <c r="N143" i="12"/>
  <c r="N142" i="12"/>
  <c r="N141" i="12"/>
  <c r="N140" i="12"/>
  <c r="N139" i="12"/>
  <c r="N138" i="12"/>
  <c r="N137" i="12"/>
  <c r="N136" i="12"/>
  <c r="N135" i="12"/>
  <c r="N134" i="12"/>
  <c r="N133" i="12"/>
  <c r="N132" i="12"/>
  <c r="N131" i="12"/>
  <c r="N130" i="12"/>
  <c r="N129" i="12"/>
  <c r="N128" i="12"/>
  <c r="N127" i="12"/>
  <c r="N126" i="12"/>
  <c r="N125" i="12"/>
  <c r="N124" i="12"/>
  <c r="N123" i="12"/>
  <c r="H123" i="12"/>
  <c r="H124" i="12" s="1"/>
  <c r="H125" i="12" s="1"/>
  <c r="H126" i="12" s="1"/>
  <c r="H127" i="12" s="1"/>
  <c r="H128" i="12" s="1"/>
  <c r="H129" i="12" s="1"/>
  <c r="H130" i="12" s="1"/>
  <c r="H131" i="12" s="1"/>
  <c r="H132" i="12" s="1"/>
  <c r="H133" i="12" s="1"/>
  <c r="H134" i="12" s="1"/>
  <c r="H135" i="12" s="1"/>
  <c r="H136" i="12" s="1"/>
  <c r="H137" i="12" s="1"/>
  <c r="H138" i="12" s="1"/>
  <c r="H139" i="12" s="1"/>
  <c r="H140" i="12" s="1"/>
  <c r="H141" i="12" s="1"/>
  <c r="H142" i="12" s="1"/>
  <c r="H143" i="12" s="1"/>
  <c r="H144" i="12" s="1"/>
  <c r="H145" i="12" s="1"/>
  <c r="H146" i="12" s="1"/>
  <c r="H147" i="12" s="1"/>
  <c r="H148" i="12" s="1"/>
  <c r="H149" i="12" s="1"/>
  <c r="H150" i="12" s="1"/>
  <c r="H151" i="12" s="1"/>
  <c r="H152" i="12" s="1"/>
  <c r="H153" i="12" s="1"/>
  <c r="M116" i="12"/>
  <c r="R117" i="12" s="1"/>
  <c r="L116" i="12"/>
  <c r="K116" i="12"/>
  <c r="N114" i="12"/>
  <c r="N113" i="12"/>
  <c r="N112" i="12"/>
  <c r="N111" i="12"/>
  <c r="N110" i="12"/>
  <c r="N109" i="12"/>
  <c r="N108" i="12"/>
  <c r="N107" i="12"/>
  <c r="N106" i="12"/>
  <c r="N105" i="12"/>
  <c r="N104" i="12"/>
  <c r="N103" i="12"/>
  <c r="N102" i="12"/>
  <c r="N101" i="12"/>
  <c r="N100" i="12"/>
  <c r="N99" i="12"/>
  <c r="N98" i="12"/>
  <c r="N97" i="12"/>
  <c r="N96" i="12"/>
  <c r="N95" i="12"/>
  <c r="N94" i="12"/>
  <c r="N93" i="12"/>
  <c r="N92" i="12"/>
  <c r="N91" i="12"/>
  <c r="N90" i="12"/>
  <c r="N89" i="12"/>
  <c r="N88" i="12"/>
  <c r="N87" i="12"/>
  <c r="N86" i="12"/>
  <c r="N85" i="12"/>
  <c r="N84" i="12"/>
  <c r="H84" i="12"/>
  <c r="H85" i="12" s="1"/>
  <c r="H86" i="12" s="1"/>
  <c r="H87" i="12" s="1"/>
  <c r="H88" i="12" s="1"/>
  <c r="H89" i="12" s="1"/>
  <c r="H90" i="12" s="1"/>
  <c r="H91" i="12" s="1"/>
  <c r="H92" i="12" s="1"/>
  <c r="H93" i="12" s="1"/>
  <c r="H94" i="12" s="1"/>
  <c r="H95" i="12" s="1"/>
  <c r="H96" i="12" s="1"/>
  <c r="H97" i="12" s="1"/>
  <c r="H98" i="12" s="1"/>
  <c r="H99" i="12" s="1"/>
  <c r="H100" i="12" s="1"/>
  <c r="H101" i="12" s="1"/>
  <c r="H102" i="12" s="1"/>
  <c r="H103" i="12" s="1"/>
  <c r="H104" i="12" s="1"/>
  <c r="H105" i="12" s="1"/>
  <c r="H106" i="12" s="1"/>
  <c r="H107" i="12" s="1"/>
  <c r="H108" i="12" s="1"/>
  <c r="H109" i="12" s="1"/>
  <c r="H110" i="12" s="1"/>
  <c r="H111" i="12" s="1"/>
  <c r="H112" i="12" s="1"/>
  <c r="H113" i="12" s="1"/>
  <c r="H114" i="12" s="1"/>
  <c r="M77" i="12"/>
  <c r="R78" i="12" s="1"/>
  <c r="L77" i="12"/>
  <c r="K77" i="12"/>
  <c r="N75" i="12"/>
  <c r="N74" i="12"/>
  <c r="N73" i="12"/>
  <c r="N72" i="12"/>
  <c r="N71" i="12"/>
  <c r="N70" i="12"/>
  <c r="N69" i="12"/>
  <c r="N68" i="12"/>
  <c r="N67" i="12"/>
  <c r="N66" i="12"/>
  <c r="N65" i="12"/>
  <c r="N64" i="12"/>
  <c r="N63" i="12"/>
  <c r="N62" i="12"/>
  <c r="N61" i="12"/>
  <c r="N60" i="12"/>
  <c r="N59" i="12"/>
  <c r="N58" i="12"/>
  <c r="N57" i="12"/>
  <c r="N56" i="12"/>
  <c r="N55" i="12"/>
  <c r="N54" i="12"/>
  <c r="N53" i="12"/>
  <c r="N52" i="12"/>
  <c r="N51" i="12"/>
  <c r="N50" i="12"/>
  <c r="N49" i="12"/>
  <c r="N48" i="12"/>
  <c r="N47" i="12"/>
  <c r="N46" i="12"/>
  <c r="N45" i="12"/>
  <c r="AX8" i="4" l="1"/>
  <c r="AY8" i="4"/>
  <c r="AW8" i="4"/>
  <c r="AZ8" i="4"/>
  <c r="BA8" i="4"/>
  <c r="AY11" i="4"/>
  <c r="AX11" i="4"/>
  <c r="AZ11" i="4"/>
  <c r="AW11" i="4"/>
  <c r="BA11" i="4"/>
  <c r="AW17" i="4"/>
  <c r="AY17" i="4"/>
  <c r="AX17" i="4"/>
  <c r="AZ17" i="4"/>
  <c r="BA17" i="4"/>
  <c r="AX10" i="4"/>
  <c r="AY10" i="4"/>
  <c r="AZ10" i="4"/>
  <c r="BA10" i="4"/>
  <c r="AW10" i="4"/>
  <c r="AW15" i="4"/>
  <c r="AX15" i="4"/>
  <c r="AZ15" i="4"/>
  <c r="BA15" i="4"/>
  <c r="AY15" i="4"/>
  <c r="AW7" i="4"/>
  <c r="AX7" i="4"/>
  <c r="AY7" i="4"/>
  <c r="AZ7" i="4"/>
  <c r="BA7" i="4"/>
  <c r="AX12" i="4"/>
  <c r="AY12" i="4"/>
  <c r="AZ12" i="4"/>
  <c r="AW12" i="4"/>
  <c r="BA12" i="4"/>
  <c r="AY13" i="4"/>
  <c r="AX13" i="4"/>
  <c r="AW13" i="4"/>
  <c r="AZ13" i="4"/>
  <c r="BA13" i="4"/>
  <c r="AW9" i="4"/>
  <c r="AX9" i="4"/>
  <c r="AY9" i="4"/>
  <c r="AZ9" i="4"/>
  <c r="BA9" i="4"/>
  <c r="AX14" i="4"/>
  <c r="AY14" i="4"/>
  <c r="AZ14" i="4"/>
  <c r="BA14" i="4"/>
  <c r="AW14" i="4"/>
  <c r="AX16" i="4"/>
  <c r="AY16" i="4"/>
  <c r="AW16" i="4"/>
  <c r="AZ16" i="4"/>
  <c r="BA16" i="4"/>
  <c r="C12" i="12"/>
  <c r="C8" i="12"/>
  <c r="C17" i="12"/>
  <c r="L78" i="12"/>
  <c r="D7" i="12" s="1"/>
  <c r="C7" i="12"/>
  <c r="C9" i="12"/>
  <c r="L156" i="12"/>
  <c r="D9" i="12" s="1"/>
  <c r="L312" i="12"/>
  <c r="D13" i="12" s="1"/>
  <c r="C13" i="12"/>
  <c r="L351" i="12"/>
  <c r="D14" i="12" s="1"/>
  <c r="C14" i="12"/>
  <c r="L390" i="12"/>
  <c r="D15" i="12" s="1"/>
  <c r="C15" i="12"/>
  <c r="L429" i="12"/>
  <c r="D16" i="12" s="1"/>
  <c r="C16" i="12"/>
  <c r="L234" i="12"/>
  <c r="D11" i="12" s="1"/>
  <c r="C11" i="12"/>
  <c r="L117" i="12"/>
  <c r="D8" i="12" s="1"/>
  <c r="L273" i="12"/>
  <c r="D12" i="12" s="1"/>
  <c r="L468" i="12"/>
  <c r="D17" i="12" s="1"/>
  <c r="L195" i="12"/>
  <c r="D10" i="12" s="1"/>
  <c r="C10" i="12"/>
  <c r="N467" i="12"/>
  <c r="N428" i="12"/>
  <c r="N389" i="12"/>
  <c r="N350" i="12"/>
  <c r="N311" i="12"/>
  <c r="N272" i="12"/>
  <c r="N233" i="12"/>
  <c r="N194" i="12"/>
  <c r="N155" i="12"/>
  <c r="N116" i="12"/>
  <c r="N77" i="12"/>
  <c r="A6" i="12"/>
  <c r="H4" i="12"/>
  <c r="H6" i="12" s="1"/>
  <c r="F16" i="4" l="1"/>
  <c r="I16" i="4" s="1"/>
  <c r="F12" i="4"/>
  <c r="I12" i="4" s="1"/>
  <c r="F9" i="4"/>
  <c r="I9" i="4" s="1"/>
  <c r="F8" i="4"/>
  <c r="I8" i="4" s="1"/>
  <c r="F10" i="4"/>
  <c r="I10" i="4" s="1"/>
  <c r="F13" i="4"/>
  <c r="I13" i="4" s="1"/>
  <c r="F6" i="4"/>
  <c r="I6" i="4" s="1"/>
  <c r="F14" i="4"/>
  <c r="I14" i="4" s="1"/>
  <c r="F7" i="4"/>
  <c r="I7" i="4" s="1"/>
  <c r="F15" i="4"/>
  <c r="I15" i="4" s="1"/>
  <c r="F11" i="4"/>
  <c r="I11" i="4" s="1"/>
  <c r="AC7" i="4"/>
  <c r="AR7" i="4" s="1"/>
  <c r="AC12" i="4"/>
  <c r="AR12" i="4" s="1"/>
  <c r="AC16" i="4"/>
  <c r="AR16" i="4" s="1"/>
  <c r="AC9" i="4"/>
  <c r="AR9" i="4" s="1"/>
  <c r="AC13" i="4"/>
  <c r="AR13" i="4" s="1"/>
  <c r="AC17" i="4"/>
  <c r="AR17" i="4" s="1"/>
  <c r="AC15" i="4"/>
  <c r="AR15" i="4" s="1"/>
  <c r="AC10" i="4"/>
  <c r="AR10" i="4" s="1"/>
  <c r="AC11" i="4"/>
  <c r="AR11" i="4" s="1"/>
  <c r="H7" i="12"/>
  <c r="H8" i="12" l="1"/>
  <c r="B1" i="12"/>
  <c r="J1" i="12" s="1"/>
  <c r="F3" i="4" l="1"/>
  <c r="AC5" i="4"/>
  <c r="AW5" i="4" s="1"/>
  <c r="H9" i="12"/>
  <c r="S31" i="12"/>
  <c r="H10" i="12" l="1"/>
  <c r="N13" i="12"/>
  <c r="H11" i="12" l="1"/>
  <c r="AA38" i="3"/>
  <c r="H38" i="3"/>
  <c r="I38" i="3"/>
  <c r="J38" i="3"/>
  <c r="K38" i="3"/>
  <c r="L38" i="3"/>
  <c r="M38" i="3"/>
  <c r="N38" i="3"/>
  <c r="O38" i="3"/>
  <c r="P38" i="3"/>
  <c r="Q38" i="3"/>
  <c r="R38" i="3"/>
  <c r="S38" i="3"/>
  <c r="T38" i="3"/>
  <c r="U38" i="3"/>
  <c r="V38" i="3"/>
  <c r="W38" i="3"/>
  <c r="X38" i="3"/>
  <c r="Y38" i="3"/>
  <c r="Z38" i="3"/>
  <c r="F38" i="3"/>
  <c r="G38" i="3"/>
  <c r="E38" i="3"/>
  <c r="D38" i="3"/>
  <c r="H17" i="4"/>
  <c r="H12" i="12" l="1"/>
  <c r="G11" i="4"/>
  <c r="G5" i="4"/>
  <c r="G6" i="4"/>
  <c r="G14" i="4"/>
  <c r="G16" i="4"/>
  <c r="G12" i="4"/>
  <c r="G10" i="4"/>
  <c r="G8" i="4"/>
  <c r="G15" i="4"/>
  <c r="G13" i="4"/>
  <c r="G9" i="4"/>
  <c r="G7" i="4"/>
  <c r="M38" i="12"/>
  <c r="R39" i="12" s="1"/>
  <c r="L38" i="12"/>
  <c r="K38" i="12"/>
  <c r="N36" i="12"/>
  <c r="N35" i="12"/>
  <c r="N34" i="12"/>
  <c r="N33" i="12"/>
  <c r="N32" i="12"/>
  <c r="N31" i="12"/>
  <c r="N30" i="12"/>
  <c r="N29" i="12"/>
  <c r="N28" i="12"/>
  <c r="N27" i="12"/>
  <c r="N26" i="12"/>
  <c r="N25" i="12"/>
  <c r="R31" i="12"/>
  <c r="E6" i="12" s="1"/>
  <c r="N24" i="12"/>
  <c r="N23" i="12"/>
  <c r="N22" i="12"/>
  <c r="N21" i="12"/>
  <c r="N20" i="12"/>
  <c r="N19" i="12"/>
  <c r="N18" i="12"/>
  <c r="N17" i="12"/>
  <c r="N16" i="12"/>
  <c r="N15" i="12"/>
  <c r="N14" i="12"/>
  <c r="N12" i="12"/>
  <c r="N11" i="12"/>
  <c r="N10" i="12"/>
  <c r="N9" i="12"/>
  <c r="N8" i="12"/>
  <c r="N7" i="12"/>
  <c r="N6" i="12"/>
  <c r="AX6" i="4" l="1"/>
  <c r="AY6" i="4"/>
  <c r="AZ6" i="4"/>
  <c r="BA6" i="4"/>
  <c r="AW6" i="4"/>
  <c r="N38" i="12"/>
  <c r="H13" i="12"/>
  <c r="J8" i="4"/>
  <c r="J10" i="4"/>
  <c r="J15" i="4"/>
  <c r="J9" i="4"/>
  <c r="J12" i="4"/>
  <c r="J16" i="4"/>
  <c r="J11" i="4"/>
  <c r="J14" i="4"/>
  <c r="L39" i="12"/>
  <c r="D6" i="12" s="1"/>
  <c r="C6" i="12"/>
  <c r="F5" i="4" s="1"/>
  <c r="I5" i="4" s="1"/>
  <c r="G17" i="4"/>
  <c r="J6" i="4" l="1"/>
  <c r="AC14" i="4"/>
  <c r="AR14" i="4" s="1"/>
  <c r="AC6" i="4"/>
  <c r="AR6" i="4" s="1"/>
  <c r="AC8" i="4"/>
  <c r="AR8" i="4" s="1"/>
  <c r="H14" i="12"/>
  <c r="K15" i="4"/>
  <c r="K8" i="4"/>
  <c r="K12" i="4"/>
  <c r="K11" i="4"/>
  <c r="K9" i="4"/>
  <c r="K14" i="4"/>
  <c r="K10" i="4"/>
  <c r="K16" i="4"/>
  <c r="J13" i="4" l="1"/>
  <c r="K13" i="4" s="1"/>
  <c r="J5" i="4"/>
  <c r="F17" i="4"/>
  <c r="H15" i="12"/>
  <c r="K6" i="4"/>
  <c r="J7" i="4" l="1"/>
  <c r="K7" i="4" s="1"/>
  <c r="H16" i="12"/>
  <c r="I17" i="4"/>
  <c r="J17" i="4" l="1"/>
  <c r="H17" i="12"/>
  <c r="K5" i="4"/>
  <c r="K17" i="4" s="1"/>
  <c r="H18" i="12" l="1"/>
  <c r="H19" i="12" l="1"/>
  <c r="H20" i="12" l="1"/>
  <c r="H21" i="12" l="1"/>
  <c r="H22" i="12" l="1"/>
  <c r="H23" i="12" l="1"/>
  <c r="H24" i="12" l="1"/>
  <c r="H25" i="12" l="1"/>
  <c r="H26" i="12" l="1"/>
  <c r="H27" i="12" l="1"/>
  <c r="H28" i="12" l="1"/>
  <c r="H29" i="12" l="1"/>
  <c r="H30" i="12" l="1"/>
  <c r="H31" i="12" l="1"/>
  <c r="H32" i="12" l="1"/>
  <c r="H33" i="12" l="1"/>
  <c r="H34" i="12" l="1"/>
  <c r="H35" i="12" l="1"/>
  <c r="H36" i="12" l="1"/>
</calcChain>
</file>

<file path=xl/sharedStrings.xml><?xml version="1.0" encoding="utf-8"?>
<sst xmlns="http://schemas.openxmlformats.org/spreadsheetml/2006/main" count="717" uniqueCount="126">
  <si>
    <t>Dzień</t>
  </si>
  <si>
    <t>Załadunek</t>
  </si>
  <si>
    <t>Rozładunek</t>
  </si>
  <si>
    <t>Trasa [km]</t>
  </si>
  <si>
    <t>Podjazd [km]</t>
  </si>
  <si>
    <t>SUMA</t>
  </si>
  <si>
    <t>Styczeń</t>
  </si>
  <si>
    <t>Luty</t>
  </si>
  <si>
    <t>Marzec</t>
  </si>
  <si>
    <t>Kwiecień</t>
  </si>
  <si>
    <t>Maj</t>
  </si>
  <si>
    <t>Czerwiec</t>
  </si>
  <si>
    <t>Lipiec</t>
  </si>
  <si>
    <t>Sierpień</t>
  </si>
  <si>
    <t>Wrzesień</t>
  </si>
  <si>
    <t>Październik</t>
  </si>
  <si>
    <t>Listopad</t>
  </si>
  <si>
    <t>Grudzień</t>
  </si>
  <si>
    <t>Miesiąc</t>
  </si>
  <si>
    <t>Inne</t>
  </si>
  <si>
    <t>PIT 4</t>
  </si>
  <si>
    <t>ZUS [ub. społeczne, zdrowotne, FP, FGŚP ]</t>
  </si>
  <si>
    <t>Karta paliwowa [PLN]</t>
  </si>
  <si>
    <t>Księgowa</t>
  </si>
  <si>
    <t>Telefony</t>
  </si>
  <si>
    <t>Biuro</t>
  </si>
  <si>
    <t>Poczta</t>
  </si>
  <si>
    <t>Mandaty</t>
  </si>
  <si>
    <t>Koszty bankowe</t>
  </si>
  <si>
    <t>GPS</t>
  </si>
  <si>
    <t>Materiały Biurowe</t>
  </si>
  <si>
    <t>RODZAJ</t>
  </si>
  <si>
    <t>Inne 1</t>
  </si>
  <si>
    <t>Inne 2</t>
  </si>
  <si>
    <t>Inne 3</t>
  </si>
  <si>
    <t>Inne 4</t>
  </si>
  <si>
    <t>Suma</t>
  </si>
  <si>
    <t>Paliwo [PLN]</t>
  </si>
  <si>
    <t>Koszty Firmy</t>
  </si>
  <si>
    <t>Zysk</t>
  </si>
  <si>
    <t>Zysk netto</t>
  </si>
  <si>
    <t>Podatek</t>
  </si>
  <si>
    <t>Średni kurs [€/PLN]</t>
  </si>
  <si>
    <t>Paliwo [€]</t>
  </si>
  <si>
    <t>ZWROT VAT</t>
  </si>
  <si>
    <t>€ [netto]</t>
  </si>
  <si>
    <t>PLN [netto]</t>
  </si>
  <si>
    <t>EURO [netto]</t>
  </si>
  <si>
    <t>Kwota € [netto]</t>
  </si>
  <si>
    <t>Kwota PLN [netto]</t>
  </si>
  <si>
    <t>Leasing [PLN]</t>
  </si>
  <si>
    <t>Cześci Myjnia</t>
  </si>
  <si>
    <t>Leasing [€]</t>
  </si>
  <si>
    <t>Wynagrodzenie kierowcy</t>
  </si>
  <si>
    <t>ZUS kierowcy auta</t>
  </si>
  <si>
    <t>SUMA ZLECEŃ</t>
  </si>
  <si>
    <t>REALIZACJA PLANU</t>
  </si>
  <si>
    <t>Ubezpieczenie auta</t>
  </si>
  <si>
    <t>Serwis auta</t>
  </si>
  <si>
    <t>Wszystkie Koszty [netto]</t>
  </si>
  <si>
    <t>Ubezpieczenie OCP</t>
  </si>
  <si>
    <t>Plan</t>
  </si>
  <si>
    <t>Wartość ze zleceń</t>
  </si>
  <si>
    <t>Relizacja</t>
  </si>
  <si>
    <t>Kolumna4</t>
  </si>
  <si>
    <t>Kolumna5</t>
  </si>
  <si>
    <t>Kolumna6</t>
  </si>
  <si>
    <t>Kolumna7</t>
  </si>
  <si>
    <t>Kolumna8</t>
  </si>
  <si>
    <t>Kolumna9</t>
  </si>
  <si>
    <t>Kolumna10</t>
  </si>
  <si>
    <t>Kolumna11</t>
  </si>
  <si>
    <t>Kolumna12</t>
  </si>
  <si>
    <t xml:space="preserve"> 2</t>
  </si>
  <si>
    <t xml:space="preserve"> 3</t>
  </si>
  <si>
    <t xml:space="preserve">Ważne: Kalkulator nie jest narzędziem księgowym! Nie uwzględniamy tu z automatu różnic kursu waluty, nie pilnujemy każdego miejsca po przecinku. To proste narzędzie ma pokazywać nam realne wyniki - tyle ile faktycznie zarobiliśmy i wydaliśmy. Nie jest ono super precyzyjne, bo kurs € zmienia się codziennie, mamy tego świadomość i wiemy, że może to wpływać na faktyczny zysk, ale gdybyśmy uwzględniali dokładnie różnice kursu- kalkulator straciłby na swojej prostocie, a to największa zaleta tego narzędzia! </t>
  </si>
  <si>
    <t xml:space="preserve">1. Zanim zaczniesz pracować na kalkulatorze na spokojnie przejrzyj wszystkie arkusze, tabele, zapoznaj się z komórkami, które są tu uwzględnione. Wszystko, czego nie ma, a uważasz, że być powinno - wpisz w komórki nazwane INNE. </t>
  </si>
  <si>
    <t>3. Koszty, które nie są związane z poszczególnymi pojazdami i przypisanymi do nich kierowcami wpisuj w  czerwony arkusz KOSZTY FIRMY. To są koszty, które ponosi firma, ale związane są z całością działalności transportowej, a nie poszczególnym pojazdem. Jeśli zatrudniasz spedytora, sprzątaczkę biura czy mechanika, wpisz te koszty pod pozycją INNE. Uwzględniliśmy podstawowe koszty, ale każda firma funkcjonuje inaczej, więc wpisuj tam wszystkie koszty, które rzeczywiście ponosisz!</t>
  </si>
  <si>
    <r>
      <t>4. Zastanów się przed uzupełnianiem kosztów typu: paliwo, ZUS. Możesz to zrobić na dwa sposoby:</t>
    </r>
    <r>
      <rPr>
        <b/>
        <sz val="14"/>
        <color theme="1"/>
        <rFont val="Calibri"/>
        <family val="2"/>
        <charset val="238"/>
        <scheme val="minor"/>
      </rPr>
      <t xml:space="preserve"> 
Pierwszym sposobem</t>
    </r>
    <r>
      <rPr>
        <sz val="14"/>
        <color theme="1"/>
        <rFont val="Calibri"/>
        <family val="2"/>
        <scheme val="minor"/>
      </rPr>
      <t xml:space="preserve"> jest wpisanie całego ZUS-u i wszystkich kosztów paliwa (np z faktury DKV,AS24, Shell czy innej flotowej) w arkuszu "Koszty Firmy". 
</t>
    </r>
    <r>
      <rPr>
        <b/>
        <sz val="14"/>
        <color theme="1"/>
        <rFont val="Calibri"/>
        <family val="2"/>
        <charset val="238"/>
        <scheme val="minor"/>
      </rPr>
      <t>Drugi sposób</t>
    </r>
    <r>
      <rPr>
        <sz val="14"/>
        <color theme="1"/>
        <rFont val="Calibri"/>
        <family val="2"/>
        <scheme val="minor"/>
      </rPr>
      <t xml:space="preserve"> to wpisywanie w  arkusze dla pojazdów tych kosztów - np. w arkuszu każdego pojazdu wpisujemy koszt ZUS dla tego kierowcy i koszty paliwa dla tego auta. Koszt Zusu właściciela firmy i ewentualnie zatrudnionych pracowników (innych niż kierowcy) wpisujemy wóczas do tabeli KOSZTY FIRMY. Jedno i drugie rozwiązanie jest dobre, ale należy pilnować, aby dwa razy nie wpisać tych samych kosztów!</t>
    </r>
  </si>
  <si>
    <t xml:space="preserve">5. Jako przewoźnik międzynarodowy możesz mieć koszty w walucie PLN lub EUR. Wprowadzając koszty do tabel wpisuj je albo w PLN albu w EUR! Jeśli wpiszesz w obu, koszty będą naliczone podwójnie! </t>
  </si>
  <si>
    <t xml:space="preserve">7. Zwrot VAT z zagranicy traktujemy  jako przychód. Tą kwotę wpisujemy w arkuszu WYNIKI w odpowiedniej kolumnie. Wybraliśmy taki sposób liczenia, po konsultacji z księgowymi w kilku firmach i stosujemy go u siebie. Co miesiąc wpisujemy koszty paliwa brutto, a  kwartalny zwrot vatu wpisujemy w danym miesiącu (tym, kiedy faktycznie ten zwrot był) jako zysk. </t>
  </si>
  <si>
    <r>
      <t xml:space="preserve">8. Arkusz WYKRESY zawiera 3 rodzaje wykresów, dane pobierane są z pozostałych arkuszy. Znajdziesz tam </t>
    </r>
    <r>
      <rPr>
        <b/>
        <sz val="14"/>
        <color theme="1"/>
        <rFont val="Calibri"/>
        <family val="2"/>
        <charset val="238"/>
        <scheme val="minor"/>
      </rPr>
      <t>wykres przychodów ze zleceń</t>
    </r>
    <r>
      <rPr>
        <sz val="14"/>
        <color theme="1"/>
        <rFont val="Calibri"/>
        <family val="2"/>
        <scheme val="minor"/>
      </rPr>
      <t xml:space="preserve"> (dla każdego pojazdu), dzięki czemu od razu zauważysz, które auto wypracowało najwięcej pieniędzy. Kolejny wykres to </t>
    </r>
    <r>
      <rPr>
        <b/>
        <sz val="14"/>
        <color theme="1"/>
        <rFont val="Calibri"/>
        <family val="2"/>
        <charset val="238"/>
        <scheme val="minor"/>
      </rPr>
      <t>zysk w PLN dla każdego auta</t>
    </r>
    <r>
      <rPr>
        <sz val="14"/>
        <color theme="1"/>
        <rFont val="Calibri"/>
        <family val="2"/>
        <scheme val="minor"/>
      </rPr>
      <t xml:space="preserve"> (czyli wartość ze zlecenień pomniejszona o koszty, które to auto wygenerowało). Ostatni wykres to </t>
    </r>
    <r>
      <rPr>
        <b/>
        <sz val="14"/>
        <color theme="1"/>
        <rFont val="Calibri"/>
        <family val="2"/>
        <charset val="238"/>
        <scheme val="minor"/>
      </rPr>
      <t>zysk netto firmy</t>
    </r>
    <r>
      <rPr>
        <sz val="14"/>
        <color theme="1"/>
        <rFont val="Calibri"/>
        <family val="2"/>
        <scheme val="minor"/>
      </rPr>
      <t xml:space="preserve"> (tutaj uwzględnione są wszystkie koszty, które zostały wprowadzone, bez podziału na poszczególne pojazdy).</t>
    </r>
  </si>
  <si>
    <t>2.  W niebieskie arkusze, które nazwane są numerami rejestracyjnymi pojazdów wpisuj koszty związane WYŁĄCZNIE z tym pojazdem! Dzięki temu będziesz dokładnie widzieć, jakie wyniki robi to auto, jakie osiąga zyski, jakie generuje koszty. Nazwę niebieskiego arkusza zmień dowolnie.</t>
  </si>
  <si>
    <t>0</t>
  </si>
  <si>
    <t>6. Arkusz WYNIKI zbiera wszystkie dane, które wprowadzisz w poszczególne arkusze. Niektóre wartości (np. kwoty ze zleceń czy koszty paliwa) będą w walucie EURO, ale nie przejmuj się i nie przeliczaj tego! W kolumnie C w arkuszu WYNIKI wprowadzisz średni kurs dla danego miesiąca i kalkulator automatycznie wyliczy Twój zysk w walucie PLN. Pamiętaj tylko, żeby nie wpisywać kosztów podwójnie, bo wyliczenia nie będą precyzyjne. Dodatkowo w lewym górym rogu należy wybrać % podatku dochodowego, który obowiązuje w firmie.</t>
  </si>
  <si>
    <t>www.kalkulatorprzewoznika.pl</t>
  </si>
  <si>
    <t>WWW.KALKULATORPRZEWOZNIKA.PL</t>
  </si>
  <si>
    <t>Miesięczny</t>
  </si>
  <si>
    <t>Roczny</t>
  </si>
  <si>
    <t>Stan Licznika (START)</t>
  </si>
  <si>
    <t>km</t>
  </si>
  <si>
    <t>Stan Licznika(STOP)</t>
  </si>
  <si>
    <t xml:space="preserve">Różnica </t>
  </si>
  <si>
    <t>Koszty</t>
  </si>
  <si>
    <t>Mosty [€]</t>
  </si>
  <si>
    <t xml:space="preserve">Maut </t>
  </si>
  <si>
    <t>Podatek o śr. Transportu</t>
  </si>
  <si>
    <t>Legalizacja Tachografu</t>
  </si>
  <si>
    <t>Przegląd techniczny</t>
  </si>
  <si>
    <t>Miesiąc 1</t>
  </si>
  <si>
    <t>Miesiąc 2</t>
  </si>
  <si>
    <t>Miesiąc 3</t>
  </si>
  <si>
    <t>Miesiąc 4</t>
  </si>
  <si>
    <t>Kolumna1</t>
  </si>
  <si>
    <t xml:space="preserve">✉️ </t>
  </si>
  <si>
    <t>info@kalkulatorprzewoznika.pl</t>
  </si>
  <si>
    <t>🌍</t>
  </si>
  <si>
    <t>Rok</t>
  </si>
  <si>
    <t>Kolumna2</t>
  </si>
  <si>
    <t>ZWROT VAT [€]</t>
  </si>
  <si>
    <t>STAWKA ZA KILOMETR</t>
  </si>
  <si>
    <t>Składka zdrowotna</t>
  </si>
  <si>
    <t>PLN(zł)</t>
  </si>
  <si>
    <t>EUR(€)</t>
  </si>
  <si>
    <t>Stawka</t>
  </si>
  <si>
    <t>Stawka na km</t>
  </si>
  <si>
    <t>Inne 5</t>
  </si>
  <si>
    <t>Inne 6</t>
  </si>
  <si>
    <t>Inne 7</t>
  </si>
  <si>
    <t>Inne 8</t>
  </si>
  <si>
    <t>Inne 9</t>
  </si>
  <si>
    <t>Inne 10</t>
  </si>
  <si>
    <t>Inne 11</t>
  </si>
  <si>
    <t>Giełda [Trans/Timo/Teleroute itd]</t>
  </si>
  <si>
    <t>Opłaty drogowe inne</t>
  </si>
  <si>
    <t>WALUTA ZLECEŃ DLA TEGO AUTA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</si>
</sst>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415]d\ mmm;@"/>
    <numFmt numFmtId="165" formatCode="0.000"/>
    <numFmt numFmtId="166" formatCode="_-[$€-2]\ * #,##0.00_-;\-[$€-2]\ * #,##0.00_-;_-[$€-2]\ * &quot;-&quot;??_-;_-@_-"/>
    <numFmt numFmtId="167" formatCode="_-* #,##0.00\ [$zł-415]_-;\-* #,##0.00\ [$zł-415]_-;_-* &quot;-&quot;??\ [$zł-415]_-;_-@_-"/>
    <numFmt numFmtId="168" formatCode="#,##0.00\ &quot;zł&quot;"/>
    <numFmt numFmtId="169" formatCode="0.0%"/>
  </numFmts>
  <fonts count="40" x14ac:knownFonts="1">
    <font>
      <sz val="11"/>
      <color theme="1"/>
      <name val="Calibri"/>
      <family val="2"/>
      <scheme val="minor"/>
    </font>
    <font>
      <sz val="11"/>
      <color theme="1"/>
      <name val="Calibri"/>
      <family val="2"/>
      <scheme val="minor"/>
    </font>
    <font>
      <b/>
      <sz val="11"/>
      <color theme="1"/>
      <name val="Calibri"/>
      <family val="2"/>
      <charset val="238"/>
      <scheme val="minor"/>
    </font>
    <font>
      <u/>
      <sz val="11"/>
      <color theme="10"/>
      <name val="Calibri"/>
      <family val="2"/>
      <scheme val="minor"/>
    </font>
    <font>
      <b/>
      <sz val="14"/>
      <color theme="1"/>
      <name val="Calibri"/>
      <family val="2"/>
      <charset val="238"/>
      <scheme val="minor"/>
    </font>
    <font>
      <sz val="8"/>
      <name val="Calibri"/>
      <family val="2"/>
      <scheme val="minor"/>
    </font>
    <font>
      <sz val="11"/>
      <color theme="0"/>
      <name val="Calibri"/>
      <family val="2"/>
      <scheme val="minor"/>
    </font>
    <font>
      <sz val="11"/>
      <color rgb="FFFF0000"/>
      <name val="Calibri"/>
      <family val="2"/>
      <scheme val="minor"/>
    </font>
    <font>
      <sz val="12"/>
      <color theme="1"/>
      <name val="Calibri"/>
      <family val="2"/>
      <scheme val="minor"/>
    </font>
    <font>
      <b/>
      <sz val="12"/>
      <color theme="1"/>
      <name val="Calibri"/>
      <family val="2"/>
      <charset val="238"/>
      <scheme val="minor"/>
    </font>
    <font>
      <sz val="20"/>
      <color theme="1"/>
      <name val="Calibri"/>
      <family val="2"/>
      <scheme val="minor"/>
    </font>
    <font>
      <b/>
      <sz val="20"/>
      <color theme="0"/>
      <name val="Calibri"/>
      <family val="2"/>
      <scheme val="minor"/>
    </font>
    <font>
      <sz val="14"/>
      <color theme="1"/>
      <name val="Calibri"/>
      <family val="2"/>
      <scheme val="minor"/>
    </font>
    <font>
      <sz val="14"/>
      <color theme="0"/>
      <name val="Calibri"/>
      <family val="2"/>
      <scheme val="minor"/>
    </font>
    <font>
      <sz val="12"/>
      <color theme="0"/>
      <name val="Calibri"/>
      <family val="2"/>
      <scheme val="minor"/>
    </font>
    <font>
      <b/>
      <sz val="14"/>
      <color theme="0"/>
      <name val="Calibri"/>
      <family val="2"/>
      <scheme val="minor"/>
    </font>
    <font>
      <b/>
      <sz val="16"/>
      <color theme="0"/>
      <name val="Calibri"/>
      <family val="2"/>
      <scheme val="minor"/>
    </font>
    <font>
      <b/>
      <sz val="28"/>
      <color theme="0"/>
      <name val="Calibri"/>
      <family val="2"/>
      <charset val="238"/>
      <scheme val="minor"/>
    </font>
    <font>
      <b/>
      <sz val="12"/>
      <color theme="0"/>
      <name val="Calibri"/>
      <family val="2"/>
      <charset val="238"/>
      <scheme val="minor"/>
    </font>
    <font>
      <b/>
      <i/>
      <sz val="12"/>
      <color theme="1"/>
      <name val="Verdana"/>
      <family val="2"/>
      <charset val="238"/>
    </font>
    <font>
      <b/>
      <sz val="20"/>
      <color rgb="FFBD2222"/>
      <name val="Calibri"/>
      <family val="2"/>
      <scheme val="minor"/>
    </font>
    <font>
      <sz val="14"/>
      <color theme="1"/>
      <name val="Calibri"/>
      <family val="2"/>
      <charset val="238"/>
      <scheme val="minor"/>
    </font>
    <font>
      <sz val="28"/>
      <color theme="0"/>
      <name val="Calibri"/>
      <family val="2"/>
      <scheme val="minor"/>
    </font>
    <font>
      <b/>
      <sz val="18"/>
      <color theme="1"/>
      <name val="Calibri"/>
      <family val="2"/>
      <charset val="238"/>
      <scheme val="minor"/>
    </font>
    <font>
      <b/>
      <sz val="16"/>
      <color theme="1"/>
      <name val="Calibri"/>
      <family val="2"/>
      <charset val="238"/>
      <scheme val="minor"/>
    </font>
    <font>
      <u/>
      <sz val="11"/>
      <color theme="0"/>
      <name val="Calibri"/>
      <family val="2"/>
      <scheme val="minor"/>
    </font>
    <font>
      <b/>
      <sz val="12"/>
      <color theme="1"/>
      <name val="Calibri"/>
      <family val="2"/>
      <scheme val="minor"/>
    </font>
    <font>
      <sz val="12"/>
      <name val="Calibri"/>
      <family val="2"/>
      <scheme val="minor"/>
    </font>
    <font>
      <b/>
      <sz val="12"/>
      <name val="Calibri"/>
      <family val="2"/>
      <scheme val="minor"/>
    </font>
    <font>
      <u/>
      <sz val="12"/>
      <color theme="10"/>
      <name val="Calibri"/>
      <family val="2"/>
      <scheme val="minor"/>
    </font>
    <font>
      <i/>
      <sz val="12"/>
      <color theme="1"/>
      <name val="Calibri"/>
      <family val="2"/>
      <scheme val="minor"/>
    </font>
    <font>
      <b/>
      <i/>
      <sz val="12"/>
      <name val="Calibri"/>
      <family val="2"/>
      <charset val="238"/>
      <scheme val="minor"/>
    </font>
    <font>
      <b/>
      <sz val="16"/>
      <color rgb="FFFF0000"/>
      <name val="Calibri"/>
      <family val="2"/>
      <charset val="238"/>
      <scheme val="minor"/>
    </font>
    <font>
      <b/>
      <sz val="14"/>
      <color rgb="FFFF0000"/>
      <name val="Calibri"/>
      <family val="2"/>
      <charset val="238"/>
      <scheme val="minor"/>
    </font>
    <font>
      <b/>
      <sz val="12"/>
      <color theme="0"/>
      <name val="Calibri"/>
      <family val="2"/>
      <scheme val="minor"/>
    </font>
    <font>
      <b/>
      <sz val="14"/>
      <color rgb="FFEB6440"/>
      <name val="Calibri"/>
      <family val="2"/>
      <charset val="238"/>
      <scheme val="minor"/>
    </font>
    <font>
      <b/>
      <sz val="16"/>
      <color rgb="FFEB6440"/>
      <name val="Calibri"/>
      <family val="2"/>
      <charset val="238"/>
      <scheme val="minor"/>
    </font>
    <font>
      <i/>
      <sz val="14"/>
      <color theme="1"/>
      <name val="Calibri"/>
      <family val="2"/>
      <scheme val="minor"/>
    </font>
    <font>
      <sz val="16"/>
      <color theme="1"/>
      <name val="Calibri"/>
      <family val="2"/>
      <scheme val="minor"/>
    </font>
    <font>
      <b/>
      <sz val="16"/>
      <color theme="1"/>
      <name val="Calibri"/>
      <family val="2"/>
      <scheme val="minor"/>
    </font>
  </fonts>
  <fills count="15">
    <fill>
      <patternFill patternType="none"/>
    </fill>
    <fill>
      <patternFill patternType="gray125"/>
    </fill>
    <fill>
      <patternFill patternType="solid">
        <fgColor theme="0" tint="-0.14999847407452621"/>
        <bgColor theme="0" tint="-0.14999847407452621"/>
      </patternFill>
    </fill>
    <fill>
      <patternFill patternType="solid">
        <fgColor theme="0" tint="-4.9989318521683403E-2"/>
        <bgColor indexed="64"/>
      </patternFill>
    </fill>
    <fill>
      <patternFill patternType="solid">
        <fgColor rgb="FF224F86"/>
        <bgColor indexed="64"/>
      </patternFill>
    </fill>
    <fill>
      <patternFill patternType="solid">
        <fgColor rgb="FFBD2222"/>
        <bgColor theme="7"/>
      </patternFill>
    </fill>
    <fill>
      <patternFill patternType="solid">
        <fgColor theme="0" tint="-0.14999847407452621"/>
        <bgColor indexed="64"/>
      </patternFill>
    </fill>
    <fill>
      <patternFill patternType="solid">
        <fgColor rgb="FFD3D3D3"/>
        <bgColor indexed="64"/>
      </patternFill>
    </fill>
    <fill>
      <patternFill patternType="solid">
        <fgColor theme="0" tint="-4.9989318521683403E-2"/>
        <bgColor theme="0" tint="-0.14999847407452621"/>
      </patternFill>
    </fill>
    <fill>
      <patternFill patternType="solid">
        <fgColor rgb="FF4FA095"/>
        <bgColor indexed="64"/>
      </patternFill>
    </fill>
    <fill>
      <patternFill patternType="solid">
        <fgColor rgb="FF153462"/>
        <bgColor indexed="64"/>
      </patternFill>
    </fill>
    <fill>
      <patternFill patternType="solid">
        <fgColor rgb="FFF6F6C9"/>
        <bgColor indexed="64"/>
      </patternFill>
    </fill>
    <fill>
      <patternFill patternType="solid">
        <fgColor rgb="FFBAD1C2"/>
        <bgColor indexed="64"/>
      </patternFill>
    </fill>
    <fill>
      <patternFill patternType="solid">
        <fgColor rgb="FF153462"/>
        <bgColor theme="7"/>
      </patternFill>
    </fill>
    <fill>
      <patternFill patternType="solid">
        <fgColor rgb="FF4FA095"/>
        <bgColor theme="0" tint="-0.14999847407452621"/>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theme="1"/>
      </bottom>
      <diagonal/>
    </border>
    <border>
      <left/>
      <right/>
      <top style="medium">
        <color theme="1"/>
      </top>
      <bottom/>
      <diagonal/>
    </border>
    <border>
      <left style="medium">
        <color indexed="64"/>
      </left>
      <right/>
      <top style="medium">
        <color theme="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theme="1"/>
      </bottom>
      <diagonal/>
    </border>
    <border>
      <left/>
      <right style="medium">
        <color indexed="64"/>
      </right>
      <top style="thin">
        <color indexed="64"/>
      </top>
      <bottom style="thin">
        <color indexed="64"/>
      </bottom>
      <diagonal/>
    </border>
    <border>
      <left style="medium">
        <color indexed="64"/>
      </left>
      <right/>
      <top/>
      <bottom style="medium">
        <color theme="1"/>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170">
    <xf numFmtId="0" fontId="0" fillId="0" borderId="0" xfId="0"/>
    <xf numFmtId="0" fontId="0" fillId="0" borderId="0" xfId="0" applyProtection="1">
      <protection hidden="1"/>
    </xf>
    <xf numFmtId="167" fontId="8" fillId="0" borderId="0" xfId="0" applyNumberFormat="1" applyFont="1" applyProtection="1">
      <protection hidden="1"/>
    </xf>
    <xf numFmtId="9" fontId="7" fillId="0" borderId="0" xfId="1" applyFont="1" applyFill="1" applyProtection="1">
      <protection hidden="1"/>
    </xf>
    <xf numFmtId="0" fontId="0" fillId="0" borderId="0" xfId="0" applyAlignment="1" applyProtection="1">
      <alignment horizontal="center" vertical="center"/>
      <protection hidden="1"/>
    </xf>
    <xf numFmtId="9" fontId="0" fillId="0" borderId="0" xfId="1" applyFont="1" applyProtection="1">
      <protection hidden="1"/>
    </xf>
    <xf numFmtId="0" fontId="6" fillId="4" borderId="0" xfId="0" applyFont="1" applyFill="1" applyAlignment="1" applyProtection="1">
      <alignment horizontal="center" vertical="center"/>
      <protection hidden="1"/>
    </xf>
    <xf numFmtId="0" fontId="6" fillId="0" borderId="0" xfId="0" applyFont="1" applyProtection="1">
      <protection hidden="1"/>
    </xf>
    <xf numFmtId="166" fontId="0" fillId="0" borderId="0" xfId="0" applyNumberFormat="1" applyProtection="1">
      <protection hidden="1"/>
    </xf>
    <xf numFmtId="0" fontId="7" fillId="0" borderId="0" xfId="0" applyFont="1" applyProtection="1">
      <protection hidden="1"/>
    </xf>
    <xf numFmtId="0" fontId="10" fillId="0" borderId="0" xfId="0" applyFont="1" applyAlignment="1" applyProtection="1">
      <alignment horizontal="center" vertical="center"/>
      <protection hidden="1"/>
    </xf>
    <xf numFmtId="0" fontId="9" fillId="0" borderId="0" xfId="0" applyFont="1" applyAlignment="1" applyProtection="1">
      <alignment horizontal="center" vertical="center"/>
      <protection hidden="1"/>
    </xf>
    <xf numFmtId="0" fontId="12" fillId="0" borderId="0" xfId="0" applyFont="1" applyAlignment="1" applyProtection="1">
      <alignment horizontal="center" vertical="center" wrapText="1"/>
      <protection hidden="1"/>
    </xf>
    <xf numFmtId="0" fontId="17" fillId="0" borderId="0" xfId="0" applyFont="1" applyAlignment="1" applyProtection="1">
      <alignment horizontal="center" vertical="center"/>
      <protection hidden="1"/>
    </xf>
    <xf numFmtId="0" fontId="3" fillId="0" borderId="0" xfId="2"/>
    <xf numFmtId="0" fontId="2" fillId="0" borderId="20" xfId="0" applyFont="1" applyBorder="1" applyAlignment="1" applyProtection="1">
      <alignment horizontal="center" vertical="center"/>
      <protection hidden="1"/>
    </xf>
    <xf numFmtId="0" fontId="11" fillId="5" borderId="0" xfId="0" applyFont="1" applyFill="1" applyAlignment="1" applyProtection="1">
      <alignment horizontal="center" vertical="center"/>
      <protection hidden="1"/>
    </xf>
    <xf numFmtId="0" fontId="24" fillId="0" borderId="0" xfId="0" applyFont="1" applyAlignment="1" applyProtection="1">
      <alignment horizontal="center" vertical="center"/>
      <protection hidden="1"/>
    </xf>
    <xf numFmtId="0" fontId="11" fillId="5" borderId="0" xfId="0" quotePrefix="1" applyFont="1" applyFill="1" applyAlignment="1" applyProtection="1">
      <alignment horizontal="center" vertical="center"/>
      <protection hidden="1"/>
    </xf>
    <xf numFmtId="0" fontId="11" fillId="5" borderId="24" xfId="0" applyFont="1" applyFill="1" applyBorder="1" applyAlignment="1" applyProtection="1">
      <alignment horizontal="center" vertical="center"/>
      <protection hidden="1"/>
    </xf>
    <xf numFmtId="0" fontId="20" fillId="5" borderId="12" xfId="0" applyFont="1" applyFill="1" applyBorder="1" applyAlignment="1" applyProtection="1">
      <alignment horizontal="center" vertical="center"/>
      <protection hidden="1"/>
    </xf>
    <xf numFmtId="0" fontId="20" fillId="5" borderId="22" xfId="0" applyFont="1" applyFill="1" applyBorder="1" applyAlignment="1" applyProtection="1">
      <alignment horizontal="center" vertical="center"/>
      <protection hidden="1"/>
    </xf>
    <xf numFmtId="0" fontId="11" fillId="5" borderId="12" xfId="0" applyFont="1" applyFill="1" applyBorder="1" applyAlignment="1" applyProtection="1">
      <alignment horizontal="center" vertical="center"/>
      <protection hidden="1"/>
    </xf>
    <xf numFmtId="9" fontId="7" fillId="0" borderId="0" xfId="1" applyFont="1" applyFill="1" applyProtection="1">
      <protection locked="0"/>
    </xf>
    <xf numFmtId="0" fontId="19" fillId="0" borderId="0" xfId="0" applyFont="1" applyProtection="1">
      <protection locked="0" hidden="1"/>
    </xf>
    <xf numFmtId="0" fontId="19" fillId="6" borderId="0" xfId="0" applyFont="1" applyFill="1" applyProtection="1">
      <protection locked="0" hidden="1"/>
    </xf>
    <xf numFmtId="0" fontId="19" fillId="6" borderId="12" xfId="0" applyFont="1" applyFill="1" applyBorder="1" applyProtection="1">
      <protection locked="0" hidden="1"/>
    </xf>
    <xf numFmtId="0" fontId="8" fillId="0" borderId="0" xfId="0" applyFont="1" applyProtection="1">
      <protection hidden="1"/>
    </xf>
    <xf numFmtId="0" fontId="12" fillId="0" borderId="0" xfId="0" applyFont="1" applyProtection="1">
      <protection hidden="1"/>
    </xf>
    <xf numFmtId="167" fontId="12" fillId="0" borderId="0" xfId="0" applyNumberFormat="1" applyFont="1" applyProtection="1">
      <protection hidden="1"/>
    </xf>
    <xf numFmtId="166" fontId="12" fillId="0" borderId="0" xfId="0" applyNumberFormat="1" applyFont="1" applyProtection="1">
      <protection hidden="1"/>
    </xf>
    <xf numFmtId="0" fontId="8" fillId="3" borderId="18" xfId="0" applyFont="1" applyFill="1" applyBorder="1" applyProtection="1">
      <protection hidden="1"/>
    </xf>
    <xf numFmtId="0" fontId="8" fillId="3" borderId="18" xfId="0" applyFont="1" applyFill="1" applyBorder="1" applyAlignment="1" applyProtection="1">
      <alignment horizontal="right"/>
      <protection locked="0"/>
    </xf>
    <xf numFmtId="0" fontId="8" fillId="3" borderId="18" xfId="0" applyFont="1" applyFill="1" applyBorder="1" applyProtection="1">
      <protection locked="0"/>
    </xf>
    <xf numFmtId="0" fontId="14" fillId="0" borderId="0" xfId="0" applyFont="1" applyAlignment="1" applyProtection="1">
      <alignment horizontal="center" vertical="center" wrapText="1"/>
      <protection hidden="1"/>
    </xf>
    <xf numFmtId="166" fontId="27" fillId="0" borderId="0" xfId="0" applyNumberFormat="1" applyFont="1" applyProtection="1">
      <protection locked="0"/>
    </xf>
    <xf numFmtId="169" fontId="27" fillId="0" borderId="0" xfId="1" applyNumberFormat="1" applyFont="1" applyBorder="1" applyProtection="1">
      <protection hidden="1"/>
    </xf>
    <xf numFmtId="167" fontId="27" fillId="0" borderId="0" xfId="0" applyNumberFormat="1" applyFont="1" applyProtection="1">
      <protection hidden="1"/>
    </xf>
    <xf numFmtId="164" fontId="28" fillId="0" borderId="0" xfId="0" applyNumberFormat="1" applyFont="1" applyProtection="1">
      <protection hidden="1"/>
    </xf>
    <xf numFmtId="0" fontId="27" fillId="3" borderId="0" xfId="0" applyFont="1" applyFill="1" applyProtection="1">
      <protection locked="0"/>
    </xf>
    <xf numFmtId="166" fontId="27" fillId="3" borderId="0" xfId="0" applyNumberFormat="1" applyFont="1" applyFill="1" applyProtection="1">
      <protection locked="0"/>
    </xf>
    <xf numFmtId="165" fontId="27" fillId="3" borderId="0" xfId="0" applyNumberFormat="1" applyFont="1" applyFill="1" applyAlignment="1" applyProtection="1">
      <alignment horizontal="right"/>
      <protection hidden="1"/>
    </xf>
    <xf numFmtId="0" fontId="8" fillId="3" borderId="0" xfId="0" applyFont="1" applyFill="1" applyProtection="1">
      <protection locked="0"/>
    </xf>
    <xf numFmtId="164" fontId="26" fillId="0" borderId="0" xfId="0" applyNumberFormat="1" applyFont="1" applyProtection="1">
      <protection hidden="1"/>
    </xf>
    <xf numFmtId="166" fontId="8" fillId="3" borderId="0" xfId="0" applyNumberFormat="1" applyFont="1" applyFill="1" applyProtection="1">
      <protection locked="0"/>
    </xf>
    <xf numFmtId="165" fontId="8" fillId="3" borderId="0" xfId="0" applyNumberFormat="1" applyFont="1" applyFill="1" applyAlignment="1" applyProtection="1">
      <alignment horizontal="right"/>
      <protection hidden="1"/>
    </xf>
    <xf numFmtId="0" fontId="29" fillId="3" borderId="0" xfId="2" applyFont="1" applyFill="1" applyProtection="1">
      <protection locked="0"/>
    </xf>
    <xf numFmtId="0" fontId="30" fillId="0" borderId="0" xfId="0" applyFont="1" applyProtection="1">
      <protection hidden="1"/>
    </xf>
    <xf numFmtId="166" fontId="8" fillId="0" borderId="0" xfId="0" applyNumberFormat="1" applyFont="1" applyProtection="1">
      <protection hidden="1"/>
    </xf>
    <xf numFmtId="0" fontId="8" fillId="0" borderId="0" xfId="0" quotePrefix="1" applyFont="1" applyProtection="1">
      <protection hidden="1"/>
    </xf>
    <xf numFmtId="164" fontId="26" fillId="0" borderId="0" xfId="0" applyNumberFormat="1" applyFont="1" applyAlignment="1" applyProtection="1">
      <alignment horizontal="right"/>
      <protection hidden="1"/>
    </xf>
    <xf numFmtId="0" fontId="8" fillId="0" borderId="0" xfId="0" applyFont="1" applyProtection="1">
      <protection locked="0"/>
    </xf>
    <xf numFmtId="166" fontId="8" fillId="0" borderId="0" xfId="0" applyNumberFormat="1" applyFont="1" applyProtection="1">
      <protection locked="0"/>
    </xf>
    <xf numFmtId="165" fontId="8" fillId="0" borderId="0" xfId="0" applyNumberFormat="1" applyFont="1" applyAlignment="1" applyProtection="1">
      <alignment horizontal="right"/>
      <protection hidden="1"/>
    </xf>
    <xf numFmtId="0" fontId="31" fillId="0" borderId="0" xfId="0" applyFont="1" applyProtection="1">
      <protection hidden="1"/>
    </xf>
    <xf numFmtId="167" fontId="8" fillId="0" borderId="0" xfId="0" applyNumberFormat="1" applyFont="1" applyProtection="1">
      <protection locked="0"/>
    </xf>
    <xf numFmtId="166" fontId="12" fillId="3" borderId="10" xfId="0" applyNumberFormat="1" applyFont="1" applyFill="1" applyBorder="1" applyProtection="1">
      <protection locked="0"/>
    </xf>
    <xf numFmtId="167" fontId="12" fillId="3" borderId="0" xfId="0" applyNumberFormat="1" applyFont="1" applyFill="1" applyProtection="1">
      <protection locked="0"/>
    </xf>
    <xf numFmtId="166" fontId="12" fillId="2" borderId="10" xfId="0" applyNumberFormat="1" applyFont="1" applyFill="1" applyBorder="1" applyProtection="1">
      <protection locked="0"/>
    </xf>
    <xf numFmtId="167" fontId="12" fillId="2" borderId="0" xfId="0" applyNumberFormat="1" applyFont="1" applyFill="1" applyProtection="1">
      <protection locked="0"/>
    </xf>
    <xf numFmtId="167" fontId="12" fillId="3" borderId="11" xfId="0" applyNumberFormat="1" applyFont="1" applyFill="1" applyBorder="1" applyProtection="1">
      <protection locked="0"/>
    </xf>
    <xf numFmtId="166" fontId="12" fillId="3" borderId="0" xfId="0" applyNumberFormat="1" applyFont="1" applyFill="1" applyProtection="1">
      <protection locked="0"/>
    </xf>
    <xf numFmtId="167" fontId="12" fillId="2" borderId="11" xfId="0" applyNumberFormat="1" applyFont="1" applyFill="1" applyBorder="1" applyProtection="1">
      <protection locked="0"/>
    </xf>
    <xf numFmtId="166" fontId="12" fillId="2" borderId="4" xfId="0" applyNumberFormat="1" applyFont="1" applyFill="1" applyBorder="1" applyProtection="1">
      <protection locked="0"/>
    </xf>
    <xf numFmtId="167" fontId="12" fillId="2" borderId="5" xfId="0" applyNumberFormat="1" applyFont="1" applyFill="1" applyBorder="1" applyProtection="1">
      <protection locked="0"/>
    </xf>
    <xf numFmtId="0" fontId="19" fillId="3" borderId="0" xfId="0" applyFont="1" applyFill="1" applyProtection="1">
      <protection locked="0" hidden="1"/>
    </xf>
    <xf numFmtId="166" fontId="12" fillId="7" borderId="10" xfId="0" applyNumberFormat="1" applyFont="1" applyFill="1" applyBorder="1" applyProtection="1">
      <protection locked="0"/>
    </xf>
    <xf numFmtId="167" fontId="12" fillId="7" borderId="0" xfId="0" applyNumberFormat="1" applyFont="1" applyFill="1" applyProtection="1">
      <protection locked="0"/>
    </xf>
    <xf numFmtId="166" fontId="12" fillId="8" borderId="10" xfId="0" applyNumberFormat="1" applyFont="1" applyFill="1" applyBorder="1" applyProtection="1">
      <protection locked="0"/>
    </xf>
    <xf numFmtId="167" fontId="12" fillId="8" borderId="0" xfId="0" applyNumberFormat="1" applyFont="1" applyFill="1" applyProtection="1">
      <protection locked="0"/>
    </xf>
    <xf numFmtId="0" fontId="33" fillId="0" borderId="0" xfId="0" applyFont="1" applyAlignment="1" applyProtection="1">
      <alignment horizontal="center" vertical="center" wrapText="1"/>
      <protection hidden="1"/>
    </xf>
    <xf numFmtId="9" fontId="32" fillId="0" borderId="0" xfId="1" applyFont="1" applyFill="1" applyAlignment="1" applyProtection="1">
      <alignment horizontal="center" vertical="center"/>
      <protection locked="0"/>
    </xf>
    <xf numFmtId="0" fontId="6" fillId="10" borderId="0" xfId="0" applyFont="1" applyFill="1" applyProtection="1">
      <protection hidden="1"/>
    </xf>
    <xf numFmtId="0" fontId="6" fillId="10" borderId="0" xfId="0" quotePrefix="1" applyFont="1" applyFill="1" applyAlignment="1" applyProtection="1">
      <alignment horizontal="right"/>
      <protection hidden="1"/>
    </xf>
    <xf numFmtId="0" fontId="25" fillId="10" borderId="0" xfId="2" quotePrefix="1" applyFont="1" applyFill="1" applyProtection="1">
      <protection hidden="1"/>
    </xf>
    <xf numFmtId="0" fontId="6" fillId="10" borderId="0" xfId="0" applyFont="1" applyFill="1" applyAlignment="1" applyProtection="1">
      <alignment horizontal="right"/>
      <protection hidden="1"/>
    </xf>
    <xf numFmtId="0" fontId="25" fillId="10" borderId="0" xfId="2" applyFont="1" applyFill="1" applyProtection="1">
      <protection hidden="1"/>
    </xf>
    <xf numFmtId="0" fontId="8" fillId="9" borderId="0" xfId="0" applyFont="1" applyFill="1" applyAlignment="1" applyProtection="1">
      <alignment horizontal="center" vertical="center"/>
      <protection hidden="1"/>
    </xf>
    <xf numFmtId="0" fontId="8" fillId="9" borderId="0" xfId="0" applyFont="1" applyFill="1" applyAlignment="1" applyProtection="1">
      <alignment horizontal="center" vertical="center"/>
      <protection locked="0" hidden="1"/>
    </xf>
    <xf numFmtId="0" fontId="14" fillId="9" borderId="0" xfId="0" applyFont="1" applyFill="1" applyAlignment="1" applyProtection="1">
      <alignment horizontal="center" vertical="center" wrapText="1"/>
      <protection hidden="1"/>
    </xf>
    <xf numFmtId="0" fontId="14" fillId="9" borderId="0" xfId="0" applyFont="1" applyFill="1" applyProtection="1">
      <protection hidden="1"/>
    </xf>
    <xf numFmtId="166" fontId="15" fillId="9" borderId="0" xfId="0" applyNumberFormat="1" applyFont="1" applyFill="1" applyAlignment="1" applyProtection="1">
      <alignment horizontal="right"/>
      <protection hidden="1"/>
    </xf>
    <xf numFmtId="165" fontId="14" fillId="9" borderId="0" xfId="0" applyNumberFormat="1" applyFont="1" applyFill="1" applyAlignment="1" applyProtection="1">
      <alignment horizontal="right"/>
      <protection hidden="1"/>
    </xf>
    <xf numFmtId="10" fontId="16" fillId="9" borderId="0" xfId="1" applyNumberFormat="1" applyFont="1" applyFill="1" applyBorder="1" applyAlignment="1" applyProtection="1">
      <protection hidden="1"/>
    </xf>
    <xf numFmtId="0" fontId="13" fillId="9" borderId="28" xfId="0" applyFont="1" applyFill="1" applyBorder="1" applyProtection="1">
      <protection hidden="1"/>
    </xf>
    <xf numFmtId="0" fontId="14" fillId="9" borderId="28" xfId="0" applyFont="1" applyFill="1" applyBorder="1" applyProtection="1">
      <protection hidden="1"/>
    </xf>
    <xf numFmtId="166" fontId="27" fillId="12" borderId="0" xfId="0" applyNumberFormat="1" applyFont="1" applyFill="1" applyProtection="1">
      <protection hidden="1"/>
    </xf>
    <xf numFmtId="0" fontId="23" fillId="11" borderId="9" xfId="0" applyFont="1" applyFill="1" applyBorder="1" applyAlignment="1" applyProtection="1">
      <alignment horizontal="center"/>
      <protection locked="0"/>
    </xf>
    <xf numFmtId="0" fontId="8" fillId="11" borderId="7" xfId="0" applyFont="1" applyFill="1" applyBorder="1" applyProtection="1">
      <protection hidden="1"/>
    </xf>
    <xf numFmtId="165" fontId="8" fillId="11" borderId="8" xfId="0" applyNumberFormat="1" applyFont="1" applyFill="1" applyBorder="1" applyAlignment="1" applyProtection="1">
      <alignment horizontal="right" vertical="center"/>
      <protection hidden="1"/>
    </xf>
    <xf numFmtId="0" fontId="8" fillId="11" borderId="9" xfId="0" applyFont="1" applyFill="1" applyBorder="1" applyProtection="1">
      <protection locked="0" hidden="1"/>
    </xf>
    <xf numFmtId="0" fontId="35" fillId="11" borderId="7" xfId="0" applyFont="1" applyFill="1" applyBorder="1" applyAlignment="1" applyProtection="1">
      <alignment horizontal="center" vertical="center" wrapText="1"/>
      <protection hidden="1"/>
    </xf>
    <xf numFmtId="9" fontId="36" fillId="11" borderId="9" xfId="1" applyFont="1" applyFill="1" applyBorder="1" applyAlignment="1" applyProtection="1">
      <alignment horizontal="center" vertical="center"/>
      <protection locked="0"/>
    </xf>
    <xf numFmtId="0" fontId="11" fillId="13" borderId="25" xfId="0" applyFont="1" applyFill="1" applyBorder="1" applyAlignment="1" applyProtection="1">
      <alignment horizontal="center" vertical="center"/>
      <protection hidden="1"/>
    </xf>
    <xf numFmtId="0" fontId="18" fillId="14" borderId="13" xfId="0" applyFont="1" applyFill="1" applyBorder="1" applyAlignment="1" applyProtection="1">
      <alignment horizontal="center" vertical="center"/>
      <protection hidden="1"/>
    </xf>
    <xf numFmtId="0" fontId="18" fillId="14" borderId="14" xfId="0" applyFont="1" applyFill="1" applyBorder="1" applyAlignment="1" applyProtection="1">
      <alignment horizontal="center" vertical="center"/>
      <protection hidden="1"/>
    </xf>
    <xf numFmtId="0" fontId="24" fillId="11" borderId="0" xfId="0" applyFont="1" applyFill="1" applyAlignment="1" applyProtection="1">
      <alignment horizontal="center" vertical="center"/>
      <protection hidden="1"/>
    </xf>
    <xf numFmtId="166" fontId="24" fillId="11" borderId="0" xfId="0" applyNumberFormat="1" applyFont="1" applyFill="1" applyAlignment="1" applyProtection="1">
      <alignment horizontal="center" vertical="center"/>
      <protection hidden="1"/>
    </xf>
    <xf numFmtId="168" fontId="24" fillId="11" borderId="0" xfId="0" applyNumberFormat="1" applyFont="1" applyFill="1" applyAlignment="1" applyProtection="1">
      <alignment horizontal="center" vertical="center"/>
      <protection hidden="1"/>
    </xf>
    <xf numFmtId="0" fontId="36" fillId="11" borderId="0" xfId="0" applyFont="1" applyFill="1" applyProtection="1">
      <protection hidden="1"/>
    </xf>
    <xf numFmtId="9" fontId="36" fillId="11" borderId="0" xfId="1" applyFont="1" applyFill="1" applyProtection="1">
      <protection locked="0"/>
    </xf>
    <xf numFmtId="0" fontId="34" fillId="10" borderId="15" xfId="0" applyFont="1" applyFill="1" applyBorder="1" applyAlignment="1" applyProtection="1">
      <alignment horizontal="center" vertical="center"/>
      <protection hidden="1"/>
    </xf>
    <xf numFmtId="0" fontId="34" fillId="10" borderId="27" xfId="0" applyFont="1" applyFill="1" applyBorder="1" applyAlignment="1" applyProtection="1">
      <alignment horizontal="center" vertical="center"/>
      <protection hidden="1"/>
    </xf>
    <xf numFmtId="0" fontId="34" fillId="10" borderId="17" xfId="0" applyFont="1" applyFill="1" applyBorder="1" applyAlignment="1" applyProtection="1">
      <alignment horizontal="center" vertical="center"/>
      <protection hidden="1"/>
    </xf>
    <xf numFmtId="0" fontId="34" fillId="10" borderId="16" xfId="0" applyFont="1" applyFill="1" applyBorder="1" applyAlignment="1" applyProtection="1">
      <alignment horizontal="center" vertical="center"/>
      <protection hidden="1"/>
    </xf>
    <xf numFmtId="0" fontId="34" fillId="10" borderId="19" xfId="0" applyFont="1" applyFill="1" applyBorder="1" applyAlignment="1" applyProtection="1">
      <alignment horizontal="center" vertical="center"/>
      <protection hidden="1"/>
    </xf>
    <xf numFmtId="2" fontId="37" fillId="0" borderId="0" xfId="0" applyNumberFormat="1" applyFont="1" applyProtection="1">
      <protection locked="0" hidden="1"/>
    </xf>
    <xf numFmtId="0" fontId="38" fillId="0" borderId="0" xfId="0" applyFont="1" applyProtection="1">
      <protection hidden="1"/>
    </xf>
    <xf numFmtId="0" fontId="39" fillId="0" borderId="0" xfId="0" applyFont="1" applyProtection="1">
      <protection locked="0"/>
    </xf>
    <xf numFmtId="167" fontId="38" fillId="0" borderId="0" xfId="0" applyNumberFormat="1" applyFont="1" applyProtection="1">
      <protection hidden="1"/>
    </xf>
    <xf numFmtId="166" fontId="38" fillId="3" borderId="0" xfId="1" applyNumberFormat="1" applyFont="1" applyFill="1" applyProtection="1">
      <protection locked="0"/>
    </xf>
    <xf numFmtId="167" fontId="39" fillId="0" borderId="20" xfId="0" applyNumberFormat="1" applyFont="1" applyBorder="1" applyProtection="1">
      <protection hidden="1"/>
    </xf>
    <xf numFmtId="9" fontId="38" fillId="0" borderId="0" xfId="1" applyFont="1" applyProtection="1">
      <protection hidden="1"/>
    </xf>
    <xf numFmtId="166" fontId="38" fillId="0" borderId="0" xfId="0" applyNumberFormat="1" applyFont="1" applyProtection="1">
      <protection hidden="1"/>
    </xf>
    <xf numFmtId="9" fontId="38" fillId="0" borderId="0" xfId="0" applyNumberFormat="1" applyFont="1" applyProtection="1">
      <protection hidden="1"/>
    </xf>
    <xf numFmtId="0" fontId="39" fillId="3" borderId="0" xfId="0" applyFont="1" applyFill="1" applyProtection="1">
      <protection locked="0"/>
    </xf>
    <xf numFmtId="0" fontId="38" fillId="11" borderId="0" xfId="0" applyFont="1" applyFill="1" applyProtection="1">
      <protection hidden="1"/>
    </xf>
    <xf numFmtId="167" fontId="38" fillId="11" borderId="0" xfId="0" applyNumberFormat="1" applyFont="1" applyFill="1" applyProtection="1">
      <protection hidden="1"/>
    </xf>
    <xf numFmtId="166" fontId="38" fillId="11" borderId="0" xfId="0" applyNumberFormat="1" applyFont="1" applyFill="1" applyProtection="1">
      <protection hidden="1"/>
    </xf>
    <xf numFmtId="167" fontId="38" fillId="11" borderId="21" xfId="0" applyNumberFormat="1" applyFont="1" applyFill="1" applyBorder="1" applyProtection="1">
      <protection hidden="1"/>
    </xf>
    <xf numFmtId="0" fontId="23" fillId="11" borderId="9" xfId="0" applyFont="1" applyFill="1" applyBorder="1" applyAlignment="1" applyProtection="1">
      <alignment horizontal="center" vertical="center"/>
      <protection locked="0"/>
    </xf>
    <xf numFmtId="0" fontId="22" fillId="10" borderId="0" xfId="2" applyFont="1" applyFill="1" applyAlignment="1" applyProtection="1">
      <alignment horizontal="center" vertical="center"/>
      <protection hidden="1"/>
    </xf>
    <xf numFmtId="0" fontId="21" fillId="11" borderId="1" xfId="0" applyFont="1" applyFill="1" applyBorder="1" applyAlignment="1" applyProtection="1">
      <alignment horizontal="center" vertical="center" wrapText="1"/>
      <protection hidden="1"/>
    </xf>
    <xf numFmtId="0" fontId="21" fillId="11" borderId="2" xfId="0" applyFont="1" applyFill="1" applyBorder="1" applyAlignment="1" applyProtection="1">
      <alignment horizontal="center" vertical="center" wrapText="1"/>
      <protection hidden="1"/>
    </xf>
    <xf numFmtId="0" fontId="21" fillId="11" borderId="3" xfId="0" applyFont="1" applyFill="1" applyBorder="1" applyAlignment="1" applyProtection="1">
      <alignment horizontal="center" vertical="center" wrapText="1"/>
      <protection hidden="1"/>
    </xf>
    <xf numFmtId="0" fontId="21" fillId="11" borderId="10" xfId="0" applyFont="1" applyFill="1" applyBorder="1" applyAlignment="1" applyProtection="1">
      <alignment horizontal="center" vertical="center" wrapText="1"/>
      <protection hidden="1"/>
    </xf>
    <xf numFmtId="0" fontId="21" fillId="11" borderId="0" xfId="0" applyFont="1" applyFill="1" applyAlignment="1" applyProtection="1">
      <alignment horizontal="center" vertical="center" wrapText="1"/>
      <protection hidden="1"/>
    </xf>
    <xf numFmtId="0" fontId="21" fillId="11" borderId="11" xfId="0" applyFont="1" applyFill="1" applyBorder="1" applyAlignment="1" applyProtection="1">
      <alignment horizontal="center" vertical="center" wrapText="1"/>
      <protection hidden="1"/>
    </xf>
    <xf numFmtId="0" fontId="21" fillId="11" borderId="4" xfId="0" applyFont="1" applyFill="1" applyBorder="1" applyAlignment="1" applyProtection="1">
      <alignment horizontal="center" vertical="center" wrapText="1"/>
      <protection hidden="1"/>
    </xf>
    <xf numFmtId="0" fontId="21" fillId="11" borderId="5" xfId="0" applyFont="1" applyFill="1" applyBorder="1" applyAlignment="1" applyProtection="1">
      <alignment horizontal="center" vertical="center" wrapText="1"/>
      <protection hidden="1"/>
    </xf>
    <xf numFmtId="0" fontId="21" fillId="11" borderId="6" xfId="0" applyFont="1" applyFill="1" applyBorder="1" applyAlignment="1" applyProtection="1">
      <alignment horizontal="center" vertical="center" wrapText="1"/>
      <protection hidden="1"/>
    </xf>
    <xf numFmtId="0" fontId="12" fillId="11" borderId="1" xfId="0" applyFont="1" applyFill="1" applyBorder="1" applyAlignment="1" applyProtection="1">
      <alignment horizontal="center" vertical="center" wrapText="1"/>
      <protection hidden="1"/>
    </xf>
    <xf numFmtId="0" fontId="12" fillId="11" borderId="2" xfId="0" applyFont="1" applyFill="1" applyBorder="1" applyAlignment="1" applyProtection="1">
      <alignment horizontal="center" vertical="center" wrapText="1"/>
      <protection hidden="1"/>
    </xf>
    <xf numFmtId="0" fontId="12" fillId="11" borderId="3" xfId="0" applyFont="1" applyFill="1" applyBorder="1" applyAlignment="1" applyProtection="1">
      <alignment horizontal="center" vertical="center" wrapText="1"/>
      <protection hidden="1"/>
    </xf>
    <xf numFmtId="0" fontId="12" fillId="11" borderId="10" xfId="0" applyFont="1" applyFill="1" applyBorder="1" applyAlignment="1" applyProtection="1">
      <alignment horizontal="center" vertical="center" wrapText="1"/>
      <protection hidden="1"/>
    </xf>
    <xf numFmtId="0" fontId="12" fillId="11" borderId="0" xfId="0" applyFont="1" applyFill="1" applyAlignment="1" applyProtection="1">
      <alignment horizontal="center" vertical="center" wrapText="1"/>
      <protection hidden="1"/>
    </xf>
    <xf numFmtId="0" fontId="12" fillId="11" borderId="11" xfId="0" applyFont="1" applyFill="1" applyBorder="1" applyAlignment="1" applyProtection="1">
      <alignment horizontal="center" vertical="center" wrapText="1"/>
      <protection hidden="1"/>
    </xf>
    <xf numFmtId="0" fontId="12" fillId="11" borderId="4" xfId="0" applyFont="1" applyFill="1" applyBorder="1" applyAlignment="1" applyProtection="1">
      <alignment horizontal="center" vertical="center" wrapText="1"/>
      <protection hidden="1"/>
    </xf>
    <xf numFmtId="0" fontId="12" fillId="11" borderId="5" xfId="0" applyFont="1" applyFill="1" applyBorder="1" applyAlignment="1" applyProtection="1">
      <alignment horizontal="center" vertical="center" wrapText="1"/>
      <protection hidden="1"/>
    </xf>
    <xf numFmtId="0" fontId="12" fillId="11" borderId="6" xfId="0" applyFont="1" applyFill="1" applyBorder="1" applyAlignment="1" applyProtection="1">
      <alignment horizontal="center" vertical="center" wrapText="1"/>
      <protection hidden="1"/>
    </xf>
    <xf numFmtId="0" fontId="13" fillId="9" borderId="1" xfId="0" applyFont="1" applyFill="1" applyBorder="1" applyAlignment="1" applyProtection="1">
      <alignment horizontal="center" vertical="center" wrapText="1"/>
      <protection hidden="1"/>
    </xf>
    <xf numFmtId="0" fontId="13" fillId="9" borderId="2" xfId="0" applyFont="1" applyFill="1" applyBorder="1" applyAlignment="1" applyProtection="1">
      <alignment horizontal="center" vertical="center" wrapText="1"/>
      <protection hidden="1"/>
    </xf>
    <xf numFmtId="0" fontId="13" fillId="9" borderId="3" xfId="0" applyFont="1" applyFill="1" applyBorder="1" applyAlignment="1" applyProtection="1">
      <alignment horizontal="center" vertical="center" wrapText="1"/>
      <protection hidden="1"/>
    </xf>
    <xf numFmtId="0" fontId="13" fillId="9" borderId="10" xfId="0" applyFont="1" applyFill="1" applyBorder="1" applyAlignment="1" applyProtection="1">
      <alignment horizontal="center" vertical="center" wrapText="1"/>
      <protection hidden="1"/>
    </xf>
    <xf numFmtId="0" fontId="13" fillId="9" borderId="0" xfId="0" applyFont="1" applyFill="1" applyAlignment="1" applyProtection="1">
      <alignment horizontal="center" vertical="center" wrapText="1"/>
      <protection hidden="1"/>
    </xf>
    <xf numFmtId="0" fontId="13" fillId="9" borderId="11" xfId="0" applyFont="1" applyFill="1" applyBorder="1" applyAlignment="1" applyProtection="1">
      <alignment horizontal="center" vertical="center" wrapText="1"/>
      <protection hidden="1"/>
    </xf>
    <xf numFmtId="0" fontId="13" fillId="9" borderId="4" xfId="0" applyFont="1" applyFill="1" applyBorder="1" applyAlignment="1" applyProtection="1">
      <alignment horizontal="center" vertical="center" wrapText="1"/>
      <protection hidden="1"/>
    </xf>
    <xf numFmtId="0" fontId="13" fillId="9" borderId="5" xfId="0" applyFont="1" applyFill="1" applyBorder="1" applyAlignment="1" applyProtection="1">
      <alignment horizontal="center" vertical="center" wrapText="1"/>
      <protection hidden="1"/>
    </xf>
    <xf numFmtId="0" fontId="13" fillId="9" borderId="6" xfId="0" applyFont="1" applyFill="1" applyBorder="1" applyAlignment="1" applyProtection="1">
      <alignment horizontal="center" vertical="center" wrapText="1"/>
      <protection hidden="1"/>
    </xf>
    <xf numFmtId="10" fontId="16" fillId="9" borderId="0" xfId="1" applyNumberFormat="1" applyFont="1" applyFill="1" applyBorder="1" applyAlignment="1" applyProtection="1">
      <alignment horizontal="center"/>
      <protection hidden="1"/>
    </xf>
    <xf numFmtId="14" fontId="23" fillId="11" borderId="7" xfId="0" quotePrefix="1" applyNumberFormat="1" applyFont="1" applyFill="1" applyBorder="1" applyAlignment="1" applyProtection="1">
      <alignment horizontal="center"/>
      <protection locked="0"/>
    </xf>
    <xf numFmtId="14" fontId="23" fillId="11" borderId="8" xfId="0" quotePrefix="1" applyNumberFormat="1" applyFont="1" applyFill="1" applyBorder="1" applyAlignment="1" applyProtection="1">
      <alignment horizontal="center"/>
      <protection locked="0"/>
    </xf>
    <xf numFmtId="0" fontId="17" fillId="9" borderId="7" xfId="0" applyFont="1" applyFill="1" applyBorder="1" applyAlignment="1" applyProtection="1">
      <alignment horizontal="center" vertical="center"/>
      <protection hidden="1"/>
    </xf>
    <xf numFmtId="0" fontId="17" fillId="9" borderId="8" xfId="0" applyFont="1" applyFill="1" applyBorder="1" applyAlignment="1" applyProtection="1">
      <alignment horizontal="center" vertical="center"/>
      <protection hidden="1"/>
    </xf>
    <xf numFmtId="0" fontId="17" fillId="9" borderId="9" xfId="0" applyFont="1" applyFill="1" applyBorder="1" applyAlignment="1" applyProtection="1">
      <alignment horizontal="center" vertical="center"/>
      <protection hidden="1"/>
    </xf>
    <xf numFmtId="14" fontId="23" fillId="11" borderId="7" xfId="0" quotePrefix="1" applyNumberFormat="1" applyFont="1" applyFill="1" applyBorder="1" applyAlignment="1" applyProtection="1">
      <alignment horizontal="center" vertical="center"/>
      <protection locked="0"/>
    </xf>
    <xf numFmtId="14" fontId="23" fillId="11" borderId="8" xfId="0" quotePrefix="1" applyNumberFormat="1" applyFont="1" applyFill="1" applyBorder="1" applyAlignment="1" applyProtection="1">
      <alignment horizontal="center" vertical="center"/>
      <protection locked="0"/>
    </xf>
    <xf numFmtId="0" fontId="11" fillId="13" borderId="26" xfId="0" applyFont="1" applyFill="1" applyBorder="1" applyAlignment="1" applyProtection="1">
      <alignment horizontal="center" vertical="center"/>
      <protection hidden="1"/>
    </xf>
    <xf numFmtId="0" fontId="11" fillId="13" borderId="23" xfId="0" applyFont="1" applyFill="1" applyBorder="1" applyAlignment="1" applyProtection="1">
      <alignment horizontal="center" vertical="center"/>
      <protection hidden="1"/>
    </xf>
    <xf numFmtId="2" fontId="11" fillId="13" borderId="26" xfId="0" applyNumberFormat="1" applyFont="1" applyFill="1" applyBorder="1" applyAlignment="1" applyProtection="1">
      <alignment horizontal="center" vertical="center"/>
      <protection hidden="1"/>
    </xf>
    <xf numFmtId="0" fontId="34" fillId="10" borderId="29"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167" fontId="38" fillId="0" borderId="20" xfId="0" applyNumberFormat="1" applyFont="1" applyBorder="1" applyProtection="1">
      <protection hidden="1"/>
    </xf>
    <xf numFmtId="0" fontId="39" fillId="12" borderId="0" xfId="0" applyFont="1" applyFill="1" applyProtection="1">
      <protection locked="0"/>
    </xf>
    <xf numFmtId="2" fontId="37" fillId="12" borderId="0" xfId="0" applyNumberFormat="1" applyFont="1" applyFill="1" applyProtection="1">
      <protection locked="0" hidden="1"/>
    </xf>
    <xf numFmtId="167" fontId="38" fillId="12" borderId="20" xfId="0" applyNumberFormat="1" applyFont="1" applyFill="1" applyBorder="1" applyProtection="1">
      <protection hidden="1"/>
    </xf>
    <xf numFmtId="167" fontId="38" fillId="12" borderId="0" xfId="0" applyNumberFormat="1" applyFont="1" applyFill="1" applyProtection="1">
      <protection hidden="1"/>
    </xf>
    <xf numFmtId="166" fontId="38" fillId="12" borderId="0" xfId="1" applyNumberFormat="1" applyFont="1" applyFill="1" applyProtection="1">
      <protection locked="0"/>
    </xf>
    <xf numFmtId="167" fontId="39" fillId="12" borderId="20" xfId="0" applyNumberFormat="1" applyFont="1" applyFill="1" applyBorder="1" applyProtection="1">
      <protection hidden="1"/>
    </xf>
    <xf numFmtId="2" fontId="12" fillId="12" borderId="0" xfId="0" applyNumberFormat="1" applyFont="1" applyFill="1" applyProtection="1">
      <protection locked="0" hidden="1"/>
    </xf>
  </cellXfs>
  <cellStyles count="3">
    <cellStyle name="Hiperłącze" xfId="2" builtinId="8"/>
    <cellStyle name="Normalny" xfId="0" builtinId="0"/>
    <cellStyle name="Procentowy" xfId="1" builtinId="5"/>
  </cellStyles>
  <dxfs count="358">
    <dxf>
      <font>
        <strike/>
        <color theme="0"/>
      </font>
      <fill>
        <patternFill>
          <bgColor theme="1" tint="4.9989318521683403E-2"/>
        </patternFill>
      </fill>
      <border>
        <vertical/>
        <horizontal/>
      </border>
    </dxf>
    <dxf>
      <font>
        <strike/>
        <color theme="0"/>
      </font>
      <fill>
        <patternFill>
          <bgColor theme="1" tint="4.9989318521683403E-2"/>
        </patternFill>
      </fill>
      <border>
        <vertical/>
        <horizontal/>
      </border>
    </dxf>
    <dxf>
      <font>
        <strike/>
        <color theme="0"/>
      </font>
      <fill>
        <patternFill>
          <bgColor theme="1" tint="4.9989318521683403E-2"/>
        </patternFill>
      </fill>
      <border>
        <vertical/>
        <horizontal/>
      </border>
    </dxf>
    <dxf>
      <font>
        <strike/>
        <color theme="0"/>
      </font>
      <fill>
        <patternFill>
          <bgColor theme="1" tint="4.9989318521683403E-2"/>
        </patternFill>
      </fill>
      <border>
        <vertical/>
        <horizontal/>
      </border>
    </dxf>
    <dxf>
      <font>
        <strike/>
        <color theme="0"/>
      </font>
      <fill>
        <patternFill>
          <bgColor theme="1" tint="4.9989318521683403E-2"/>
        </patternFill>
      </fill>
      <border>
        <vertical/>
        <horizontal/>
      </border>
    </dxf>
    <dxf>
      <font>
        <strike/>
        <color theme="0"/>
      </font>
      <fill>
        <patternFill>
          <bgColor theme="1" tint="4.9989318521683403E-2"/>
        </patternFill>
      </fill>
      <border>
        <vertical/>
        <horizontal/>
      </border>
    </dxf>
    <dxf>
      <font>
        <strike/>
        <color theme="0"/>
      </font>
      <fill>
        <patternFill>
          <bgColor theme="1" tint="4.9989318521683403E-2"/>
        </patternFill>
      </fill>
      <border>
        <vertical/>
        <horizontal/>
      </border>
    </dxf>
    <dxf>
      <font>
        <strike/>
        <color theme="0"/>
      </font>
      <fill>
        <patternFill>
          <bgColor theme="1" tint="4.9989318521683403E-2"/>
        </patternFill>
      </fill>
      <border>
        <vertical/>
        <horizontal/>
      </border>
    </dxf>
    <dxf>
      <font>
        <strike/>
        <color theme="0"/>
      </font>
      <fill>
        <patternFill>
          <bgColor theme="1" tint="4.9989318521683403E-2"/>
        </patternFill>
      </fill>
      <border>
        <vertical/>
        <horizontal/>
      </border>
    </dxf>
    <dxf>
      <font>
        <strike/>
        <color theme="0"/>
      </font>
      <fill>
        <patternFill>
          <bgColor theme="1" tint="4.9989318521683403E-2"/>
        </patternFill>
      </fill>
      <border>
        <vertical/>
        <horizontal/>
      </border>
    </dxf>
    <dxf>
      <font>
        <strike/>
        <color theme="0"/>
      </font>
      <fill>
        <patternFill>
          <bgColor theme="1" tint="4.9989318521683403E-2"/>
        </patternFill>
      </fill>
      <border>
        <vertical/>
        <horizontal/>
      </border>
    </dxf>
    <dxf>
      <numFmt numFmtId="34" formatCode="_-* #,##0.00\ &quot;zł&quot;_-;\-* #,##0.00\ &quot;zł&quot;_-;_-* &quot;-&quot;??\ &quot;zł&quot;_-;_-@_-"/>
    </dxf>
    <dxf>
      <numFmt numFmtId="166" formatCode="_-[$€-2]\ * #,##0.00_-;\-[$€-2]\ * #,##0.00_-;_-[$€-2]\ * &quot;-&quot;??_-;_-@_-"/>
    </dxf>
    <dxf>
      <font>
        <strike/>
        <color theme="0"/>
      </font>
      <fill>
        <patternFill>
          <bgColor theme="1" tint="4.9989318521683403E-2"/>
        </patternFill>
      </fill>
      <border>
        <vertical/>
        <horizontal/>
      </border>
    </dxf>
    <dxf>
      <font>
        <strike/>
        <color theme="0"/>
      </font>
      <fill>
        <patternFill>
          <bgColor theme="1" tint="4.9989318521683403E-2"/>
        </patternFill>
      </fill>
      <border>
        <vertical/>
        <horizontal/>
      </border>
    </dxf>
    <dxf>
      <font>
        <strike/>
        <color theme="0"/>
      </font>
      <fill>
        <patternFill>
          <bgColor theme="1" tint="4.9989318521683403E-2"/>
        </patternFill>
      </fill>
      <border>
        <vertical/>
        <horizontal/>
      </border>
    </dxf>
    <dxf>
      <font>
        <strike/>
        <color theme="0"/>
      </font>
      <fill>
        <patternFill>
          <bgColor theme="1" tint="4.9989318521683403E-2"/>
        </patternFill>
      </fill>
      <border>
        <vertical/>
        <horizontal/>
      </border>
    </dxf>
    <dxf>
      <font>
        <strike/>
        <color theme="0"/>
      </font>
      <fill>
        <patternFill>
          <bgColor theme="1" tint="4.9989318521683403E-2"/>
        </patternFill>
      </fill>
      <border>
        <vertical/>
        <horizontal/>
      </border>
    </dxf>
    <dxf>
      <font>
        <strike/>
        <color theme="0"/>
      </font>
      <fill>
        <patternFill>
          <bgColor theme="1" tint="4.9989318521683403E-2"/>
        </patternFill>
      </fill>
      <border>
        <vertical/>
        <horizontal/>
      </border>
    </dxf>
    <dxf>
      <font>
        <strike/>
        <color theme="0"/>
      </font>
      <fill>
        <patternFill>
          <bgColor theme="1" tint="4.9989318521683403E-2"/>
        </patternFill>
      </fill>
      <border>
        <vertical/>
        <horizontal/>
      </border>
    </dxf>
    <dxf>
      <font>
        <strike/>
        <color theme="0"/>
      </font>
      <fill>
        <patternFill>
          <bgColor theme="1" tint="4.9989318521683403E-2"/>
        </patternFill>
      </fill>
      <border>
        <vertical/>
        <horizontal/>
      </border>
    </dxf>
    <dxf>
      <font>
        <strike/>
        <color theme="0"/>
      </font>
      <fill>
        <patternFill>
          <bgColor theme="1" tint="4.9989318521683403E-2"/>
        </patternFill>
      </fill>
      <border>
        <vertical/>
        <horizontal/>
      </border>
    </dxf>
    <dxf>
      <font>
        <strike/>
        <color theme="0"/>
      </font>
      <fill>
        <patternFill>
          <bgColor theme="1" tint="4.9989318521683403E-2"/>
        </patternFill>
      </fill>
      <border>
        <vertical/>
        <horizontal/>
      </border>
    </dxf>
    <dxf>
      <font>
        <strike/>
        <color theme="0"/>
      </font>
      <fill>
        <patternFill>
          <bgColor theme="1" tint="4.9989318521683403E-2"/>
        </patternFill>
      </fill>
      <border>
        <vertical/>
        <horizontal/>
      </border>
    </dxf>
    <dxf>
      <font>
        <strike/>
        <color theme="0"/>
      </font>
      <fill>
        <patternFill>
          <bgColor theme="1" tint="4.9989318521683403E-2"/>
        </patternFill>
      </fill>
      <border>
        <vertical/>
        <horizontal/>
      </border>
    </dxf>
    <dxf>
      <fill>
        <patternFill>
          <bgColor rgb="FFD3D3D3"/>
        </patternFill>
      </fill>
    </dxf>
    <dxf>
      <fill>
        <patternFill>
          <bgColor rgb="FFD3D3D3"/>
        </patternFill>
      </fill>
    </dxf>
    <dxf>
      <fill>
        <patternFill>
          <bgColor rgb="FFD3D3D3"/>
        </patternFill>
      </fill>
    </dxf>
    <dxf>
      <fill>
        <patternFill>
          <bgColor rgb="FFD3D3D3"/>
        </patternFill>
      </fill>
    </dxf>
    <dxf>
      <fill>
        <patternFill>
          <bgColor rgb="FFD3D3D3"/>
        </patternFill>
      </fill>
    </dxf>
    <dxf>
      <fill>
        <patternFill>
          <bgColor rgb="FFD3D3D3"/>
        </patternFill>
      </fill>
    </dxf>
    <dxf>
      <fill>
        <patternFill>
          <bgColor rgb="FFD3D3D3"/>
        </patternFill>
      </fill>
    </dxf>
    <dxf>
      <fill>
        <patternFill>
          <bgColor rgb="FFD3D3D3"/>
        </patternFill>
      </fill>
    </dxf>
    <dxf>
      <fill>
        <patternFill>
          <bgColor rgb="FFD3D3D3"/>
        </patternFill>
      </fill>
    </dxf>
    <dxf>
      <fill>
        <patternFill>
          <bgColor rgb="FFD3D3D3"/>
        </patternFill>
      </fill>
    </dxf>
    <dxf>
      <fill>
        <patternFill>
          <bgColor rgb="FFD3D3D3"/>
        </patternFill>
      </fill>
    </dxf>
    <dxf>
      <fill>
        <patternFill>
          <bgColor rgb="FFD3D3D3"/>
        </patternFill>
      </fill>
    </dxf>
    <dxf>
      <font>
        <b val="0"/>
        <i val="0"/>
        <strike val="0"/>
        <condense val="0"/>
        <extend val="0"/>
        <outline val="0"/>
        <shadow val="0"/>
        <u val="none"/>
        <vertAlign val="baseline"/>
        <sz val="16"/>
        <color theme="1"/>
        <name val="Calibri"/>
        <family val="2"/>
        <scheme val="minor"/>
      </font>
      <numFmt numFmtId="167" formatCode="_-* #,##0.00\ [$zł-415]_-;\-* #,##0.00\ [$zł-415]_-;_-* &quot;-&quot;??\ [$zł-415]_-;_-@_-"/>
      <fill>
        <patternFill patternType="solid">
          <fgColor indexed="64"/>
          <bgColor rgb="FFF6F6C9"/>
        </patternFill>
      </fill>
      <border diagonalUp="0" diagonalDown="0">
        <left style="medium">
          <color indexed="64"/>
        </left>
        <right style="medium">
          <color indexed="64"/>
        </right>
        <top/>
        <bottom/>
        <vertical/>
        <horizontal/>
      </border>
      <protection locked="1" hidden="1"/>
    </dxf>
    <dxf>
      <font>
        <strike val="0"/>
        <outline val="0"/>
        <shadow val="0"/>
        <u val="none"/>
        <vertAlign val="baseline"/>
        <sz val="16"/>
        <color theme="1"/>
        <name val="Calibri"/>
        <family val="2"/>
        <scheme val="minor"/>
      </font>
      <numFmt numFmtId="167" formatCode="_-* #,##0.00\ [$zł-415]_-;\-* #,##0.00\ [$zł-415]_-;_-* &quot;-&quot;??\ [$zł-415]_-;_-@_-"/>
      <border diagonalUp="0" diagonalDown="0">
        <left style="medium">
          <color indexed="64"/>
        </left>
        <right style="medium">
          <color indexed="64"/>
        </right>
        <top/>
        <bottom/>
        <vertical/>
        <horizontal/>
      </border>
      <protection locked="1" hidden="1"/>
    </dxf>
    <dxf>
      <font>
        <b val="0"/>
        <i val="0"/>
        <strike val="0"/>
        <condense val="0"/>
        <extend val="0"/>
        <outline val="0"/>
        <shadow val="0"/>
        <u val="none"/>
        <vertAlign val="baseline"/>
        <sz val="16"/>
        <color theme="1"/>
        <name val="Calibri"/>
        <family val="2"/>
        <scheme val="minor"/>
      </font>
      <numFmt numFmtId="167" formatCode="_-* #,##0.00\ [$zł-415]_-;\-* #,##0.00\ [$zł-415]_-;_-* &quot;-&quot;??\ [$zł-415]_-;_-@_-"/>
      <fill>
        <patternFill patternType="solid">
          <fgColor indexed="64"/>
          <bgColor rgb="FFF6F6C9"/>
        </patternFill>
      </fill>
      <border diagonalUp="0" diagonalDown="0" outline="0">
        <left style="medium">
          <color indexed="64"/>
        </left>
        <right style="medium">
          <color indexed="64"/>
        </right>
        <top/>
        <bottom style="medium">
          <color indexed="64"/>
        </bottom>
      </border>
      <protection locked="1" hidden="1"/>
    </dxf>
    <dxf>
      <font>
        <b val="0"/>
        <i val="0"/>
        <strike val="0"/>
        <condense val="0"/>
        <extend val="0"/>
        <outline val="0"/>
        <shadow val="0"/>
        <u val="none"/>
        <vertAlign val="baseline"/>
        <sz val="16"/>
        <color theme="1"/>
        <name val="Calibri"/>
        <family val="2"/>
        <scheme val="minor"/>
      </font>
      <numFmt numFmtId="167" formatCode="_-* #,##0.00\ [$zł-415]_-;\-* #,##0.00\ [$zł-415]_-;_-* &quot;-&quot;??\ [$zł-415]_-;_-@_-"/>
      <fill>
        <patternFill patternType="solid">
          <fgColor indexed="64"/>
          <bgColor rgb="FFF6F6C9"/>
        </patternFill>
      </fill>
      <protection locked="1" hidden="1"/>
    </dxf>
    <dxf>
      <font>
        <b val="0"/>
        <i val="0"/>
        <strike val="0"/>
        <condense val="0"/>
        <extend val="0"/>
        <outline val="0"/>
        <shadow val="0"/>
        <u val="none"/>
        <vertAlign val="baseline"/>
        <sz val="16"/>
        <color theme="1"/>
        <name val="Calibri"/>
        <family val="2"/>
        <scheme val="minor"/>
      </font>
      <numFmt numFmtId="167" formatCode="_-* #,##0.00\ [$zł-415]_-;\-* #,##0.00\ [$zł-415]_-;_-* &quot;-&quot;??\ [$zł-415]_-;_-@_-"/>
      <fill>
        <patternFill patternType="solid">
          <fgColor indexed="64"/>
          <bgColor rgb="FFF6F6C9"/>
        </patternFill>
      </fill>
      <protection locked="1" hidden="1"/>
    </dxf>
    <dxf>
      <font>
        <b val="0"/>
        <i val="0"/>
        <strike val="0"/>
        <condense val="0"/>
        <extend val="0"/>
        <outline val="0"/>
        <shadow val="0"/>
        <u val="none"/>
        <vertAlign val="baseline"/>
        <sz val="16"/>
        <color theme="1"/>
        <name val="Calibri"/>
        <family val="2"/>
        <scheme val="minor"/>
      </font>
      <numFmt numFmtId="166" formatCode="_-[$€-2]\ * #,##0.00_-;\-[$€-2]\ * #,##0.00_-;_-[$€-2]\ * &quot;-&quot;??_-;_-@_-"/>
      <fill>
        <patternFill patternType="solid">
          <fgColor indexed="64"/>
          <bgColor rgb="FFF6F6C9"/>
        </patternFill>
      </fill>
      <protection locked="1" hidden="1"/>
    </dxf>
    <dxf>
      <font>
        <b val="0"/>
        <i val="0"/>
        <strike val="0"/>
        <condense val="0"/>
        <extend val="0"/>
        <outline val="0"/>
        <shadow val="0"/>
        <u val="none"/>
        <vertAlign val="baseline"/>
        <sz val="16"/>
        <color theme="1"/>
        <name val="Calibri"/>
        <family val="2"/>
        <scheme val="minor"/>
      </font>
      <numFmt numFmtId="167" formatCode="_-* #,##0.00\ [$zł-415]_-;\-* #,##0.00\ [$zł-415]_-;_-* &quot;-&quot;??\ [$zł-415]_-;_-@_-"/>
      <fill>
        <patternFill patternType="solid">
          <fgColor indexed="64"/>
          <bgColor rgb="FFF6F6C9"/>
        </patternFill>
      </fill>
      <protection locked="1" hidden="1"/>
    </dxf>
    <dxf>
      <font>
        <b val="0"/>
        <i val="0"/>
        <strike val="0"/>
        <condense val="0"/>
        <extend val="0"/>
        <outline val="0"/>
        <shadow val="0"/>
        <u val="none"/>
        <vertAlign val="baseline"/>
        <sz val="16"/>
        <color theme="1"/>
        <name val="Calibri"/>
        <family val="2"/>
        <scheme val="minor"/>
      </font>
      <fill>
        <patternFill patternType="solid">
          <fgColor indexed="64"/>
          <bgColor rgb="FFF6F6C9"/>
        </patternFill>
      </fill>
      <protection locked="1" hidden="1"/>
    </dxf>
    <dxf>
      <font>
        <b val="0"/>
        <i val="0"/>
        <strike val="0"/>
        <condense val="0"/>
        <extend val="0"/>
        <outline val="0"/>
        <shadow val="0"/>
        <u val="none"/>
        <vertAlign val="baseline"/>
        <sz val="16"/>
        <color theme="1"/>
        <name val="Calibri"/>
        <family val="2"/>
        <scheme val="minor"/>
      </font>
      <fill>
        <patternFill patternType="solid">
          <fgColor indexed="64"/>
          <bgColor rgb="FFF6F6C9"/>
        </patternFill>
      </fill>
      <protection locked="1" hidden="1"/>
    </dxf>
    <dxf>
      <font>
        <b val="0"/>
        <i val="0"/>
        <strike val="0"/>
        <condense val="0"/>
        <extend val="0"/>
        <outline val="0"/>
        <shadow val="0"/>
        <u val="none"/>
        <vertAlign val="baseline"/>
        <sz val="16"/>
        <color theme="1"/>
        <name val="Calibri"/>
        <family val="2"/>
        <scheme val="minor"/>
      </font>
      <fill>
        <patternFill patternType="solid">
          <fgColor indexed="64"/>
          <bgColor rgb="FFF6F6C9"/>
        </patternFill>
      </fill>
      <protection locked="1" hidden="1"/>
    </dxf>
    <dxf>
      <font>
        <b val="0"/>
        <i val="0"/>
        <strike val="0"/>
        <condense val="0"/>
        <extend val="0"/>
        <outline val="0"/>
        <shadow val="0"/>
        <u val="none"/>
        <vertAlign val="baseline"/>
        <sz val="16"/>
        <color theme="1"/>
        <name val="Calibri"/>
        <family val="2"/>
        <scheme val="minor"/>
      </font>
      <fill>
        <patternFill patternType="solid">
          <fgColor indexed="64"/>
          <bgColor rgb="FFF6F6C9"/>
        </patternFill>
      </fill>
      <protection locked="1" hidden="1"/>
    </dxf>
    <dxf>
      <font>
        <b/>
        <strike val="0"/>
        <outline val="0"/>
        <shadow val="0"/>
        <u val="none"/>
        <vertAlign val="baseline"/>
        <sz val="16"/>
        <color theme="1"/>
        <name val="Calibri"/>
        <family val="2"/>
        <scheme val="minor"/>
      </font>
      <numFmt numFmtId="167" formatCode="_-* #,##0.00\ [$zł-415]_-;\-* #,##0.00\ [$zł-415]_-;_-* &quot;-&quot;??\ [$zł-415]_-;_-@_-"/>
      <border diagonalUp="0" diagonalDown="0" outline="0">
        <left style="medium">
          <color indexed="64"/>
        </left>
        <right style="medium">
          <color indexed="64"/>
        </right>
      </border>
      <protection locked="1" hidden="1"/>
    </dxf>
    <dxf>
      <font>
        <strike val="0"/>
        <outline val="0"/>
        <shadow val="0"/>
        <u val="none"/>
        <vertAlign val="baseline"/>
        <sz val="16"/>
        <color theme="1"/>
        <name val="Calibri"/>
        <family val="2"/>
        <scheme val="minor"/>
      </font>
      <numFmt numFmtId="167" formatCode="_-* #,##0.00\ [$zł-415]_-;\-* #,##0.00\ [$zł-415]_-;_-* &quot;-&quot;??\ [$zł-415]_-;_-@_-"/>
      <protection locked="1" hidden="1"/>
    </dxf>
    <dxf>
      <font>
        <strike val="0"/>
        <outline val="0"/>
        <shadow val="0"/>
        <u val="none"/>
        <vertAlign val="baseline"/>
        <sz val="16"/>
        <color theme="1"/>
        <name val="Calibri"/>
        <family val="2"/>
        <scheme val="minor"/>
      </font>
      <numFmt numFmtId="167" formatCode="_-* #,##0.00\ [$zł-415]_-;\-* #,##0.00\ [$zł-415]_-;_-* &quot;-&quot;??\ [$zł-415]_-;_-@_-"/>
      <protection locked="1" hidden="1"/>
    </dxf>
    <dxf>
      <font>
        <strike val="0"/>
        <outline val="0"/>
        <shadow val="0"/>
        <u val="none"/>
        <vertAlign val="baseline"/>
        <sz val="16"/>
        <color theme="1"/>
        <name val="Calibri"/>
        <family val="2"/>
        <scheme val="minor"/>
      </font>
      <numFmt numFmtId="166" formatCode="_-[$€-2]\ * #,##0.00_-;\-[$€-2]\ * #,##0.00_-;_-[$€-2]\ * &quot;-&quot;??_-;_-@_-"/>
      <fill>
        <patternFill patternType="solid">
          <fgColor indexed="64"/>
          <bgColor theme="9" tint="0.79998168889431442"/>
        </patternFill>
      </fill>
      <protection locked="0" hidden="0"/>
    </dxf>
    <dxf>
      <font>
        <strike val="0"/>
        <outline val="0"/>
        <shadow val="0"/>
        <u val="none"/>
        <vertAlign val="baseline"/>
        <sz val="16"/>
        <color theme="1"/>
        <name val="Calibri"/>
        <family val="2"/>
        <scheme val="minor"/>
      </font>
      <numFmt numFmtId="167" formatCode="_-* #,##0.00\ [$zł-415]_-;\-* #,##0.00\ [$zł-415]_-;_-* &quot;-&quot;??\ [$zł-415]_-;_-@_-"/>
      <protection locked="1" hidden="1"/>
    </dxf>
    <dxf>
      <font>
        <strike val="0"/>
        <outline val="0"/>
        <shadow val="0"/>
        <u val="none"/>
        <vertAlign val="baseline"/>
        <sz val="14"/>
        <color theme="1"/>
        <name val="Calibri"/>
        <family val="2"/>
        <scheme val="minor"/>
      </font>
      <numFmt numFmtId="2" formatCode="0.00"/>
      <protection locked="0" hidden="1"/>
    </dxf>
    <dxf>
      <font>
        <b/>
        <i val="0"/>
        <strike val="0"/>
        <condense val="0"/>
        <extend val="0"/>
        <outline val="0"/>
        <shadow val="0"/>
        <u val="none"/>
        <vertAlign val="baseline"/>
        <sz val="16"/>
        <color theme="1"/>
        <name val="Calibri"/>
        <family val="2"/>
        <scheme val="minor"/>
      </font>
      <fill>
        <patternFill patternType="solid">
          <fgColor indexed="64"/>
          <bgColor theme="0" tint="-0.14999847407452621"/>
        </patternFill>
      </fill>
      <protection locked="0" hidden="0"/>
    </dxf>
    <dxf>
      <font>
        <b/>
        <i val="0"/>
        <strike val="0"/>
        <condense val="0"/>
        <extend val="0"/>
        <outline val="0"/>
        <shadow val="0"/>
        <u val="none"/>
        <vertAlign val="baseline"/>
        <sz val="16"/>
        <color theme="1"/>
        <name val="Calibri"/>
        <family val="2"/>
        <scheme val="minor"/>
      </font>
      <fill>
        <patternFill patternType="solid">
          <fgColor indexed="64"/>
          <bgColor theme="0" tint="-0.14999847407452621"/>
        </patternFill>
      </fill>
      <protection locked="0" hidden="0"/>
    </dxf>
    <dxf>
      <font>
        <b/>
        <strike val="0"/>
        <outline val="0"/>
        <shadow val="0"/>
        <u val="none"/>
        <vertAlign val="baseline"/>
        <sz val="16"/>
        <color theme="1"/>
        <name val="Calibri"/>
        <family val="2"/>
        <scheme val="minor"/>
      </font>
      <fill>
        <patternFill patternType="solid">
          <fgColor indexed="64"/>
          <bgColor theme="0" tint="-0.14999847407452621"/>
        </patternFill>
      </fill>
      <protection locked="0" hidden="0"/>
    </dxf>
    <dxf>
      <fill>
        <patternFill patternType="solid">
          <fgColor indexed="64"/>
          <bgColor rgb="FFF6F6C9"/>
        </patternFill>
      </fill>
      <protection locked="1" hidden="1"/>
    </dxf>
    <dxf>
      <protection locked="1" hidden="1"/>
    </dxf>
    <dxf>
      <alignment horizontal="center" vertical="center" textRotation="0" wrapText="0" indent="0" justifyLastLine="0" shrinkToFit="0" readingOrder="0"/>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font>
        <b/>
        <i val="0"/>
        <strike val="0"/>
        <condense val="0"/>
        <extend val="0"/>
        <outline val="0"/>
        <shadow val="0"/>
        <u val="none"/>
        <vertAlign val="baseline"/>
        <sz val="20"/>
        <color theme="0"/>
        <name val="Calibri"/>
        <family val="2"/>
        <scheme val="minor"/>
      </font>
      <fill>
        <patternFill patternType="solid">
          <fgColor theme="7"/>
          <bgColor rgb="FFBD2222"/>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14"/>
        <color theme="1"/>
        <name val="Calibri"/>
        <family val="2"/>
        <scheme val="minor"/>
      </font>
      <numFmt numFmtId="166" formatCode="_-[$€-2]\ * #,##0.00_-;\-[$€-2]\ * #,##0.00_-;_-[$€-2]\ * &quot;-&quot;??_-;_-@_-"/>
      <protection locked="1" hidden="1"/>
    </dxf>
    <dxf>
      <font>
        <strike val="0"/>
        <outline val="0"/>
        <shadow val="0"/>
        <u val="none"/>
        <vertAlign val="baseline"/>
        <sz val="12"/>
        <color theme="1"/>
        <name val="Calibri"/>
        <family val="2"/>
        <scheme val="minor"/>
      </font>
      <numFmt numFmtId="166" formatCode="_-[$€-2]\ * #,##0.00_-;\-[$€-2]\ * #,##0.00_-;_-[$€-2]\ * &quot;-&quot;??_-;_-@_-"/>
      <protection locked="0" hidden="0"/>
    </dxf>
    <dxf>
      <font>
        <b val="0"/>
        <i val="0"/>
        <strike val="0"/>
        <condense val="0"/>
        <extend val="0"/>
        <outline val="0"/>
        <shadow val="0"/>
        <u val="none"/>
        <vertAlign val="baseline"/>
        <sz val="14"/>
        <color theme="1"/>
        <name val="Calibri"/>
        <family val="2"/>
        <scheme val="minor"/>
      </font>
      <numFmt numFmtId="167" formatCode="_-* #,##0.00\ [$zł-415]_-;\-* #,##0.00\ [$zł-415]_-;_-* &quot;-&quot;??\ [$zł-415]_-;_-@_-"/>
      <protection locked="1" hidden="1"/>
    </dxf>
    <dxf>
      <font>
        <strike val="0"/>
        <outline val="0"/>
        <shadow val="0"/>
        <u val="none"/>
        <vertAlign val="baseline"/>
        <sz val="12"/>
        <color theme="1"/>
        <name val="Calibri"/>
        <family val="2"/>
        <scheme val="minor"/>
      </font>
      <numFmt numFmtId="167" formatCode="_-* #,##0.00\ [$zł-415]_-;\-* #,##0.00\ [$zł-415]_-;_-* &quot;-&quot;??\ [$zł-415]_-;_-@_-"/>
      <protection locked="0" hidden="0"/>
    </dxf>
    <dxf>
      <font>
        <b val="0"/>
        <i val="0"/>
        <strike val="0"/>
        <condense val="0"/>
        <extend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0" hidden="0"/>
    </dxf>
    <dxf>
      <font>
        <strike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14"/>
        <color theme="1"/>
        <name val="Calibri"/>
        <family val="2"/>
        <scheme val="minor"/>
      </font>
      <numFmt numFmtId="166" formatCode="_-[$€-2]\ * #,##0.00_-;\-[$€-2]\ * #,##0.00_-;_-[$€-2]\ * &quot;-&quot;??_-;_-@_-"/>
      <protection locked="1" hidden="1"/>
    </dxf>
    <dxf>
      <font>
        <strike val="0"/>
        <outline val="0"/>
        <shadow val="0"/>
        <u val="none"/>
        <vertAlign val="baseline"/>
        <sz val="12"/>
        <color theme="1"/>
        <name val="Calibri"/>
        <family val="2"/>
        <scheme val="minor"/>
      </font>
      <numFmt numFmtId="166" formatCode="_-[$€-2]\ * #,##0.00_-;\-[$€-2]\ * #,##0.00_-;_-[$€-2]\ * &quot;-&quot;??_-;_-@_-"/>
      <protection locked="0" hidden="0"/>
    </dxf>
    <dxf>
      <font>
        <b val="0"/>
        <i val="0"/>
        <strike val="0"/>
        <condense val="0"/>
        <extend val="0"/>
        <outline val="0"/>
        <shadow val="0"/>
        <u val="none"/>
        <vertAlign val="baseline"/>
        <sz val="14"/>
        <color theme="1"/>
        <name val="Calibri"/>
        <family val="2"/>
        <scheme val="minor"/>
      </font>
      <numFmt numFmtId="167" formatCode="_-* #,##0.00\ [$zł-415]_-;\-* #,##0.00\ [$zł-415]_-;_-* &quot;-&quot;??\ [$zł-415]_-;_-@_-"/>
      <protection locked="1" hidden="1"/>
    </dxf>
    <dxf>
      <font>
        <strike val="0"/>
        <outline val="0"/>
        <shadow val="0"/>
        <u val="none"/>
        <vertAlign val="baseline"/>
        <sz val="12"/>
        <color theme="1"/>
        <name val="Calibri"/>
        <family val="2"/>
        <scheme val="minor"/>
      </font>
      <numFmt numFmtId="167" formatCode="_-* #,##0.00\ [$zł-415]_-;\-* #,##0.00\ [$zł-415]_-;_-* &quot;-&quot;??\ [$zł-415]_-;_-@_-"/>
      <protection locked="0" hidden="0"/>
    </dxf>
    <dxf>
      <font>
        <b val="0"/>
        <i val="0"/>
        <strike val="0"/>
        <condense val="0"/>
        <extend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0" hidden="0"/>
    </dxf>
    <dxf>
      <font>
        <strike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14"/>
        <color theme="1"/>
        <name val="Calibri"/>
        <family val="2"/>
        <scheme val="minor"/>
      </font>
      <numFmt numFmtId="166" formatCode="_-[$€-2]\ * #,##0.00_-;\-[$€-2]\ * #,##0.00_-;_-[$€-2]\ * &quot;-&quot;??_-;_-@_-"/>
      <protection locked="1" hidden="1"/>
    </dxf>
    <dxf>
      <font>
        <strike val="0"/>
        <outline val="0"/>
        <shadow val="0"/>
        <u val="none"/>
        <vertAlign val="baseline"/>
        <sz val="12"/>
        <color theme="1"/>
        <name val="Calibri"/>
        <family val="2"/>
        <scheme val="minor"/>
      </font>
      <numFmt numFmtId="166" formatCode="_-[$€-2]\ * #,##0.00_-;\-[$€-2]\ * #,##0.00_-;_-[$€-2]\ * &quot;-&quot;??_-;_-@_-"/>
      <protection locked="0" hidden="0"/>
    </dxf>
    <dxf>
      <font>
        <b val="0"/>
        <i val="0"/>
        <strike val="0"/>
        <condense val="0"/>
        <extend val="0"/>
        <outline val="0"/>
        <shadow val="0"/>
        <u val="none"/>
        <vertAlign val="baseline"/>
        <sz val="14"/>
        <color theme="1"/>
        <name val="Calibri"/>
        <family val="2"/>
        <scheme val="minor"/>
      </font>
      <numFmt numFmtId="167" formatCode="_-* #,##0.00\ [$zł-415]_-;\-* #,##0.00\ [$zł-415]_-;_-* &quot;-&quot;??\ [$zł-415]_-;_-@_-"/>
      <protection locked="1" hidden="1"/>
    </dxf>
    <dxf>
      <font>
        <strike val="0"/>
        <outline val="0"/>
        <shadow val="0"/>
        <u val="none"/>
        <vertAlign val="baseline"/>
        <sz val="12"/>
        <color theme="1"/>
        <name val="Calibri"/>
        <family val="2"/>
        <scheme val="minor"/>
      </font>
      <numFmt numFmtId="167" formatCode="_-* #,##0.00\ [$zł-415]_-;\-* #,##0.00\ [$zł-415]_-;_-* &quot;-&quot;??\ [$zł-415]_-;_-@_-"/>
      <protection locked="0" hidden="0"/>
    </dxf>
    <dxf>
      <font>
        <b val="0"/>
        <i val="0"/>
        <strike val="0"/>
        <condense val="0"/>
        <extend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0" hidden="0"/>
    </dxf>
    <dxf>
      <font>
        <strike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14"/>
        <color theme="1"/>
        <name val="Calibri"/>
        <family val="2"/>
        <scheme val="minor"/>
      </font>
      <numFmt numFmtId="166" formatCode="_-[$€-2]\ * #,##0.00_-;\-[$€-2]\ * #,##0.00_-;_-[$€-2]\ * &quot;-&quot;??_-;_-@_-"/>
      <protection locked="1" hidden="1"/>
    </dxf>
    <dxf>
      <font>
        <strike val="0"/>
        <outline val="0"/>
        <shadow val="0"/>
        <u val="none"/>
        <vertAlign val="baseline"/>
        <sz val="12"/>
        <color theme="1"/>
        <name val="Calibri"/>
        <family val="2"/>
        <scheme val="minor"/>
      </font>
      <numFmt numFmtId="166" formatCode="_-[$€-2]\ * #,##0.00_-;\-[$€-2]\ * #,##0.00_-;_-[$€-2]\ * &quot;-&quot;??_-;_-@_-"/>
      <protection locked="0" hidden="0"/>
    </dxf>
    <dxf>
      <font>
        <b val="0"/>
        <i val="0"/>
        <strike val="0"/>
        <condense val="0"/>
        <extend val="0"/>
        <outline val="0"/>
        <shadow val="0"/>
        <u val="none"/>
        <vertAlign val="baseline"/>
        <sz val="14"/>
        <color theme="1"/>
        <name val="Calibri"/>
        <family val="2"/>
        <scheme val="minor"/>
      </font>
      <numFmt numFmtId="167" formatCode="_-* #,##0.00\ [$zł-415]_-;\-* #,##0.00\ [$zł-415]_-;_-* &quot;-&quot;??\ [$zł-415]_-;_-@_-"/>
      <protection locked="1" hidden="1"/>
    </dxf>
    <dxf>
      <font>
        <strike val="0"/>
        <outline val="0"/>
        <shadow val="0"/>
        <u val="none"/>
        <vertAlign val="baseline"/>
        <sz val="12"/>
        <color theme="1"/>
        <name val="Calibri"/>
        <family val="2"/>
        <scheme val="minor"/>
      </font>
      <numFmt numFmtId="167" formatCode="_-* #,##0.00\ [$zł-415]_-;\-* #,##0.00\ [$zł-415]_-;_-* &quot;-&quot;??\ [$zł-415]_-;_-@_-"/>
      <protection locked="0" hidden="0"/>
    </dxf>
    <dxf>
      <font>
        <b val="0"/>
        <i val="0"/>
        <strike val="0"/>
        <condense val="0"/>
        <extend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0" hidden="0"/>
    </dxf>
    <dxf>
      <font>
        <strike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14"/>
        <color theme="1"/>
        <name val="Calibri"/>
        <family val="2"/>
        <scheme val="minor"/>
      </font>
      <numFmt numFmtId="166" formatCode="_-[$€-2]\ * #,##0.00_-;\-[$€-2]\ * #,##0.00_-;_-[$€-2]\ * &quot;-&quot;??_-;_-@_-"/>
      <protection locked="1" hidden="1"/>
    </dxf>
    <dxf>
      <font>
        <strike val="0"/>
        <outline val="0"/>
        <shadow val="0"/>
        <u val="none"/>
        <vertAlign val="baseline"/>
        <sz val="12"/>
        <color theme="1"/>
        <name val="Calibri"/>
        <family val="2"/>
        <scheme val="minor"/>
      </font>
      <numFmt numFmtId="166" formatCode="_-[$€-2]\ * #,##0.00_-;\-[$€-2]\ * #,##0.00_-;_-[$€-2]\ * &quot;-&quot;??_-;_-@_-"/>
      <protection locked="0" hidden="0"/>
    </dxf>
    <dxf>
      <font>
        <b val="0"/>
        <i val="0"/>
        <strike val="0"/>
        <condense val="0"/>
        <extend val="0"/>
        <outline val="0"/>
        <shadow val="0"/>
        <u val="none"/>
        <vertAlign val="baseline"/>
        <sz val="14"/>
        <color theme="1"/>
        <name val="Calibri"/>
        <family val="2"/>
        <scheme val="minor"/>
      </font>
      <numFmt numFmtId="167" formatCode="_-* #,##0.00\ [$zł-415]_-;\-* #,##0.00\ [$zł-415]_-;_-* &quot;-&quot;??\ [$zł-415]_-;_-@_-"/>
      <protection locked="1" hidden="1"/>
    </dxf>
    <dxf>
      <font>
        <strike val="0"/>
        <outline val="0"/>
        <shadow val="0"/>
        <u val="none"/>
        <vertAlign val="baseline"/>
        <sz val="12"/>
        <color theme="1"/>
        <name val="Calibri"/>
        <family val="2"/>
        <scheme val="minor"/>
      </font>
      <numFmt numFmtId="167" formatCode="_-* #,##0.00\ [$zł-415]_-;\-* #,##0.00\ [$zł-415]_-;_-* &quot;-&quot;??\ [$zł-415]_-;_-@_-"/>
      <protection locked="0" hidden="0"/>
    </dxf>
    <dxf>
      <font>
        <b val="0"/>
        <i val="0"/>
        <strike val="0"/>
        <condense val="0"/>
        <extend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0" hidden="0"/>
    </dxf>
    <dxf>
      <font>
        <strike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14"/>
        <color theme="1"/>
        <name val="Calibri"/>
        <family val="2"/>
        <scheme val="minor"/>
      </font>
      <numFmt numFmtId="166" formatCode="_-[$€-2]\ * #,##0.00_-;\-[$€-2]\ * #,##0.00_-;_-[$€-2]\ * &quot;-&quot;??_-;_-@_-"/>
      <protection locked="1" hidden="1"/>
    </dxf>
    <dxf>
      <font>
        <strike val="0"/>
        <outline val="0"/>
        <shadow val="0"/>
        <u val="none"/>
        <vertAlign val="baseline"/>
        <sz val="12"/>
        <color theme="1"/>
        <name val="Calibri"/>
        <family val="2"/>
        <scheme val="minor"/>
      </font>
      <numFmt numFmtId="166" formatCode="_-[$€-2]\ * #,##0.00_-;\-[$€-2]\ * #,##0.00_-;_-[$€-2]\ * &quot;-&quot;??_-;_-@_-"/>
      <protection locked="0" hidden="0"/>
    </dxf>
    <dxf>
      <font>
        <b val="0"/>
        <i val="0"/>
        <strike val="0"/>
        <condense val="0"/>
        <extend val="0"/>
        <outline val="0"/>
        <shadow val="0"/>
        <u val="none"/>
        <vertAlign val="baseline"/>
        <sz val="14"/>
        <color theme="1"/>
        <name val="Calibri"/>
        <family val="2"/>
        <scheme val="minor"/>
      </font>
      <numFmt numFmtId="167" formatCode="_-* #,##0.00\ [$zł-415]_-;\-* #,##0.00\ [$zł-415]_-;_-* &quot;-&quot;??\ [$zł-415]_-;_-@_-"/>
      <protection locked="1" hidden="1"/>
    </dxf>
    <dxf>
      <font>
        <strike val="0"/>
        <outline val="0"/>
        <shadow val="0"/>
        <u val="none"/>
        <vertAlign val="baseline"/>
        <sz val="12"/>
        <color theme="1"/>
        <name val="Calibri"/>
        <family val="2"/>
        <scheme val="minor"/>
      </font>
      <numFmt numFmtId="167" formatCode="_-* #,##0.00\ [$zł-415]_-;\-* #,##0.00\ [$zł-415]_-;_-* &quot;-&quot;??\ [$zł-415]_-;_-@_-"/>
      <protection locked="0" hidden="0"/>
    </dxf>
    <dxf>
      <font>
        <b val="0"/>
        <i val="0"/>
        <strike val="0"/>
        <condense val="0"/>
        <extend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0" hidden="0"/>
    </dxf>
    <dxf>
      <font>
        <strike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14"/>
        <color theme="1"/>
        <name val="Calibri"/>
        <family val="2"/>
        <scheme val="minor"/>
      </font>
      <numFmt numFmtId="166" formatCode="_-[$€-2]\ * #,##0.00_-;\-[$€-2]\ * #,##0.00_-;_-[$€-2]\ * &quot;-&quot;??_-;_-@_-"/>
      <protection locked="1" hidden="1"/>
    </dxf>
    <dxf>
      <font>
        <strike val="0"/>
        <outline val="0"/>
        <shadow val="0"/>
        <u val="none"/>
        <vertAlign val="baseline"/>
        <sz val="12"/>
        <color theme="1"/>
        <name val="Calibri"/>
        <family val="2"/>
        <scheme val="minor"/>
      </font>
      <numFmt numFmtId="166" formatCode="_-[$€-2]\ * #,##0.00_-;\-[$€-2]\ * #,##0.00_-;_-[$€-2]\ * &quot;-&quot;??_-;_-@_-"/>
      <protection locked="0" hidden="0"/>
    </dxf>
    <dxf>
      <font>
        <b val="0"/>
        <i val="0"/>
        <strike val="0"/>
        <condense val="0"/>
        <extend val="0"/>
        <outline val="0"/>
        <shadow val="0"/>
        <u val="none"/>
        <vertAlign val="baseline"/>
        <sz val="14"/>
        <color theme="1"/>
        <name val="Calibri"/>
        <family val="2"/>
        <scheme val="minor"/>
      </font>
      <numFmt numFmtId="167" formatCode="_-* #,##0.00\ [$zł-415]_-;\-* #,##0.00\ [$zł-415]_-;_-* &quot;-&quot;??\ [$zł-415]_-;_-@_-"/>
      <protection locked="1" hidden="1"/>
    </dxf>
    <dxf>
      <font>
        <strike val="0"/>
        <outline val="0"/>
        <shadow val="0"/>
        <u val="none"/>
        <vertAlign val="baseline"/>
        <sz val="12"/>
        <color theme="1"/>
        <name val="Calibri"/>
        <family val="2"/>
        <scheme val="minor"/>
      </font>
      <numFmt numFmtId="167" formatCode="_-* #,##0.00\ [$zł-415]_-;\-* #,##0.00\ [$zł-415]_-;_-* &quot;-&quot;??\ [$zł-415]_-;_-@_-"/>
      <protection locked="0" hidden="0"/>
    </dxf>
    <dxf>
      <font>
        <b val="0"/>
        <i val="0"/>
        <strike val="0"/>
        <condense val="0"/>
        <extend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0" hidden="0"/>
    </dxf>
    <dxf>
      <font>
        <strike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14"/>
        <color theme="1"/>
        <name val="Calibri"/>
        <family val="2"/>
        <scheme val="minor"/>
      </font>
      <numFmt numFmtId="166" formatCode="_-[$€-2]\ * #,##0.00_-;\-[$€-2]\ * #,##0.00_-;_-[$€-2]\ * &quot;-&quot;??_-;_-@_-"/>
      <protection locked="1" hidden="1"/>
    </dxf>
    <dxf>
      <font>
        <strike val="0"/>
        <outline val="0"/>
        <shadow val="0"/>
        <u val="none"/>
        <vertAlign val="baseline"/>
        <sz val="12"/>
        <color theme="1"/>
        <name val="Calibri"/>
        <family val="2"/>
        <scheme val="minor"/>
      </font>
      <numFmt numFmtId="166" formatCode="_-[$€-2]\ * #,##0.00_-;\-[$€-2]\ * #,##0.00_-;_-[$€-2]\ * &quot;-&quot;??_-;_-@_-"/>
      <protection locked="0" hidden="0"/>
    </dxf>
    <dxf>
      <font>
        <b val="0"/>
        <i val="0"/>
        <strike val="0"/>
        <condense val="0"/>
        <extend val="0"/>
        <outline val="0"/>
        <shadow val="0"/>
        <u val="none"/>
        <vertAlign val="baseline"/>
        <sz val="14"/>
        <color theme="1"/>
        <name val="Calibri"/>
        <family val="2"/>
        <scheme val="minor"/>
      </font>
      <numFmt numFmtId="167" formatCode="_-* #,##0.00\ [$zł-415]_-;\-* #,##0.00\ [$zł-415]_-;_-* &quot;-&quot;??\ [$zł-415]_-;_-@_-"/>
      <protection locked="1" hidden="1"/>
    </dxf>
    <dxf>
      <font>
        <strike val="0"/>
        <outline val="0"/>
        <shadow val="0"/>
        <u val="none"/>
        <vertAlign val="baseline"/>
        <sz val="12"/>
        <color theme="1"/>
        <name val="Calibri"/>
        <family val="2"/>
        <scheme val="minor"/>
      </font>
      <numFmt numFmtId="167" formatCode="_-* #,##0.00\ [$zł-415]_-;\-* #,##0.00\ [$zł-415]_-;_-* &quot;-&quot;??\ [$zł-415]_-;_-@_-"/>
      <protection locked="0" hidden="0"/>
    </dxf>
    <dxf>
      <font>
        <b val="0"/>
        <i val="0"/>
        <strike val="0"/>
        <condense val="0"/>
        <extend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0" hidden="0"/>
    </dxf>
    <dxf>
      <font>
        <strike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14"/>
        <color theme="1"/>
        <name val="Calibri"/>
        <family val="2"/>
        <scheme val="minor"/>
      </font>
      <numFmt numFmtId="166" formatCode="_-[$€-2]\ * #,##0.00_-;\-[$€-2]\ * #,##0.00_-;_-[$€-2]\ * &quot;-&quot;??_-;_-@_-"/>
      <protection locked="1" hidden="1"/>
    </dxf>
    <dxf>
      <font>
        <strike val="0"/>
        <outline val="0"/>
        <shadow val="0"/>
        <u val="none"/>
        <vertAlign val="baseline"/>
        <sz val="12"/>
        <color theme="1"/>
        <name val="Calibri"/>
        <family val="2"/>
        <scheme val="minor"/>
      </font>
      <numFmt numFmtId="166" formatCode="_-[$€-2]\ * #,##0.00_-;\-[$€-2]\ * #,##0.00_-;_-[$€-2]\ * &quot;-&quot;??_-;_-@_-"/>
      <protection locked="0" hidden="0"/>
    </dxf>
    <dxf>
      <font>
        <b val="0"/>
        <i val="0"/>
        <strike val="0"/>
        <condense val="0"/>
        <extend val="0"/>
        <outline val="0"/>
        <shadow val="0"/>
        <u val="none"/>
        <vertAlign val="baseline"/>
        <sz val="14"/>
        <color theme="1"/>
        <name val="Calibri"/>
        <family val="2"/>
        <scheme val="minor"/>
      </font>
      <numFmt numFmtId="167" formatCode="_-* #,##0.00\ [$zł-415]_-;\-* #,##0.00\ [$zł-415]_-;_-* &quot;-&quot;??\ [$zł-415]_-;_-@_-"/>
      <protection locked="1" hidden="1"/>
    </dxf>
    <dxf>
      <font>
        <strike val="0"/>
        <outline val="0"/>
        <shadow val="0"/>
        <u val="none"/>
        <vertAlign val="baseline"/>
        <sz val="12"/>
        <color theme="1"/>
        <name val="Calibri"/>
        <family val="2"/>
        <scheme val="minor"/>
      </font>
      <numFmt numFmtId="167" formatCode="_-* #,##0.00\ [$zł-415]_-;\-* #,##0.00\ [$zł-415]_-;_-* &quot;-&quot;??\ [$zł-415]_-;_-@_-"/>
      <protection locked="0" hidden="0"/>
    </dxf>
    <dxf>
      <font>
        <b val="0"/>
        <i val="0"/>
        <strike val="0"/>
        <condense val="0"/>
        <extend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0" hidden="0"/>
    </dxf>
    <dxf>
      <font>
        <strike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14"/>
        <color theme="1"/>
        <name val="Calibri"/>
        <family val="2"/>
        <scheme val="minor"/>
      </font>
      <numFmt numFmtId="166" formatCode="_-[$€-2]\ * #,##0.00_-;\-[$€-2]\ * #,##0.00_-;_-[$€-2]\ * &quot;-&quot;??_-;_-@_-"/>
      <protection locked="1" hidden="1"/>
    </dxf>
    <dxf>
      <font>
        <strike val="0"/>
        <outline val="0"/>
        <shadow val="0"/>
        <u val="none"/>
        <vertAlign val="baseline"/>
        <sz val="12"/>
        <color theme="1"/>
        <name val="Calibri"/>
        <family val="2"/>
        <scheme val="minor"/>
      </font>
      <numFmt numFmtId="166" formatCode="_-[$€-2]\ * #,##0.00_-;\-[$€-2]\ * #,##0.00_-;_-[$€-2]\ * &quot;-&quot;??_-;_-@_-"/>
      <protection locked="0" hidden="0"/>
    </dxf>
    <dxf>
      <font>
        <b val="0"/>
        <i val="0"/>
        <strike val="0"/>
        <condense val="0"/>
        <extend val="0"/>
        <outline val="0"/>
        <shadow val="0"/>
        <u val="none"/>
        <vertAlign val="baseline"/>
        <sz val="14"/>
        <color theme="1"/>
        <name val="Calibri"/>
        <family val="2"/>
        <scheme val="minor"/>
      </font>
      <numFmt numFmtId="167" formatCode="_-* #,##0.00\ [$zł-415]_-;\-* #,##0.00\ [$zł-415]_-;_-* &quot;-&quot;??\ [$zł-415]_-;_-@_-"/>
      <protection locked="1" hidden="1"/>
    </dxf>
    <dxf>
      <font>
        <strike val="0"/>
        <outline val="0"/>
        <shadow val="0"/>
        <u val="none"/>
        <vertAlign val="baseline"/>
        <sz val="12"/>
        <color theme="1"/>
        <name val="Calibri"/>
        <family val="2"/>
        <scheme val="minor"/>
      </font>
      <numFmt numFmtId="167" formatCode="_-* #,##0.00\ [$zł-415]_-;\-* #,##0.00\ [$zł-415]_-;_-* &quot;-&quot;??\ [$zł-415]_-;_-@_-"/>
      <protection locked="0" hidden="0"/>
    </dxf>
    <dxf>
      <font>
        <b val="0"/>
        <i val="0"/>
        <strike val="0"/>
        <condense val="0"/>
        <extend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0" hidden="0"/>
    </dxf>
    <dxf>
      <font>
        <strike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14"/>
        <color theme="1"/>
        <name val="Calibri"/>
        <family val="2"/>
        <scheme val="minor"/>
      </font>
      <numFmt numFmtId="166" formatCode="_-[$€-2]\ * #,##0.00_-;\-[$€-2]\ * #,##0.00_-;_-[$€-2]\ * &quot;-&quot;??_-;_-@_-"/>
      <protection locked="1" hidden="1"/>
    </dxf>
    <dxf>
      <font>
        <strike val="0"/>
        <outline val="0"/>
        <shadow val="0"/>
        <u val="none"/>
        <vertAlign val="baseline"/>
        <sz val="12"/>
        <color theme="1"/>
        <name val="Calibri"/>
        <family val="2"/>
        <scheme val="minor"/>
      </font>
      <numFmt numFmtId="166" formatCode="_-[$€-2]\ * #,##0.00_-;\-[$€-2]\ * #,##0.00_-;_-[$€-2]\ * &quot;-&quot;??_-;_-@_-"/>
      <protection locked="0" hidden="0"/>
    </dxf>
    <dxf>
      <font>
        <b val="0"/>
        <i val="0"/>
        <strike val="0"/>
        <condense val="0"/>
        <extend val="0"/>
        <outline val="0"/>
        <shadow val="0"/>
        <u val="none"/>
        <vertAlign val="baseline"/>
        <sz val="14"/>
        <color theme="1"/>
        <name val="Calibri"/>
        <family val="2"/>
        <scheme val="minor"/>
      </font>
      <numFmt numFmtId="167" formatCode="_-* #,##0.00\ [$zł-415]_-;\-* #,##0.00\ [$zł-415]_-;_-* &quot;-&quot;??\ [$zł-415]_-;_-@_-"/>
      <protection locked="1" hidden="1"/>
    </dxf>
    <dxf>
      <font>
        <strike val="0"/>
        <outline val="0"/>
        <shadow val="0"/>
        <u val="none"/>
        <vertAlign val="baseline"/>
        <sz val="12"/>
        <color theme="1"/>
        <name val="Calibri"/>
        <family val="2"/>
        <scheme val="minor"/>
      </font>
      <numFmt numFmtId="167" formatCode="_-* #,##0.00\ [$zł-415]_-;\-* #,##0.00\ [$zł-415]_-;_-* &quot;-&quot;??\ [$zł-415]_-;_-@_-"/>
      <protection locked="0" hidden="0"/>
    </dxf>
    <dxf>
      <font>
        <b val="0"/>
        <i val="0"/>
        <strike val="0"/>
        <condense val="0"/>
        <extend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0" hidden="0"/>
    </dxf>
    <dxf>
      <font>
        <strike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numFmt numFmtId="165" formatCode="0.00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b/>
        <i val="0"/>
        <strike val="0"/>
        <condense val="0"/>
        <extend val="0"/>
        <outline val="0"/>
        <shadow val="0"/>
        <u val="none"/>
        <vertAlign val="baseline"/>
        <sz val="11"/>
        <color theme="1"/>
        <name val="Calibri"/>
        <family val="2"/>
        <charset val="238"/>
        <scheme val="minor"/>
      </font>
    </dxf>
    <dxf>
      <font>
        <b/>
        <strike val="0"/>
        <outline val="0"/>
        <shadow val="0"/>
        <vertAlign val="baseline"/>
        <sz val="12"/>
        <name val="Calibri"/>
        <family val="2"/>
        <scheme val="minor"/>
      </font>
      <numFmt numFmtId="164" formatCode="[$-415]d\ mmm;@"/>
      <protection locked="1" hidden="1"/>
    </dxf>
    <dxf>
      <protection locked="1" hidden="1"/>
    </dxf>
    <dxf>
      <font>
        <strike val="0"/>
        <outline val="0"/>
        <shadow val="0"/>
        <vertAlign val="baseline"/>
        <sz val="12"/>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numFmt numFmtId="165" formatCode="0.00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b/>
        <i val="0"/>
        <strike val="0"/>
        <condense val="0"/>
        <extend val="0"/>
        <outline val="0"/>
        <shadow val="0"/>
        <u val="none"/>
        <vertAlign val="baseline"/>
        <sz val="11"/>
        <color theme="1"/>
        <name val="Calibri"/>
        <family val="2"/>
        <charset val="238"/>
        <scheme val="minor"/>
      </font>
    </dxf>
    <dxf>
      <font>
        <b/>
        <strike val="0"/>
        <outline val="0"/>
        <shadow val="0"/>
        <vertAlign val="baseline"/>
        <sz val="12"/>
        <name val="Calibri"/>
        <family val="2"/>
        <scheme val="minor"/>
      </font>
      <numFmt numFmtId="164" formatCode="[$-415]d\ mmm;@"/>
      <protection locked="1" hidden="1"/>
    </dxf>
    <dxf>
      <protection locked="1" hidden="1"/>
    </dxf>
    <dxf>
      <font>
        <strike val="0"/>
        <outline val="0"/>
        <shadow val="0"/>
        <vertAlign val="baseline"/>
        <sz val="12"/>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numFmt numFmtId="165" formatCode="0.00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b/>
        <i val="0"/>
        <strike val="0"/>
        <condense val="0"/>
        <extend val="0"/>
        <outline val="0"/>
        <shadow val="0"/>
        <u val="none"/>
        <vertAlign val="baseline"/>
        <sz val="11"/>
        <color theme="1"/>
        <name val="Calibri"/>
        <family val="2"/>
        <charset val="238"/>
        <scheme val="minor"/>
      </font>
    </dxf>
    <dxf>
      <font>
        <b/>
        <strike val="0"/>
        <outline val="0"/>
        <shadow val="0"/>
        <vertAlign val="baseline"/>
        <sz val="12"/>
        <name val="Calibri"/>
        <family val="2"/>
        <scheme val="minor"/>
      </font>
      <numFmt numFmtId="164" formatCode="[$-415]d\ mmm;@"/>
      <protection locked="1" hidden="1"/>
    </dxf>
    <dxf>
      <protection locked="1" hidden="1"/>
    </dxf>
    <dxf>
      <font>
        <strike val="0"/>
        <outline val="0"/>
        <shadow val="0"/>
        <vertAlign val="baseline"/>
        <sz val="12"/>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numFmt numFmtId="165" formatCode="0.00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b/>
        <i val="0"/>
        <strike val="0"/>
        <condense val="0"/>
        <extend val="0"/>
        <outline val="0"/>
        <shadow val="0"/>
        <u val="none"/>
        <vertAlign val="baseline"/>
        <sz val="11"/>
        <color theme="1"/>
        <name val="Calibri"/>
        <family val="2"/>
        <charset val="238"/>
        <scheme val="minor"/>
      </font>
    </dxf>
    <dxf>
      <font>
        <b/>
        <strike val="0"/>
        <outline val="0"/>
        <shadow val="0"/>
        <vertAlign val="baseline"/>
        <sz val="12"/>
        <name val="Calibri"/>
        <family val="2"/>
        <scheme val="minor"/>
      </font>
      <numFmt numFmtId="164" formatCode="[$-415]d\ mmm;@"/>
      <protection locked="1" hidden="1"/>
    </dxf>
    <dxf>
      <protection locked="1" hidden="1"/>
    </dxf>
    <dxf>
      <font>
        <strike val="0"/>
        <outline val="0"/>
        <shadow val="0"/>
        <vertAlign val="baseline"/>
        <sz val="12"/>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numFmt numFmtId="165" formatCode="0.00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b/>
        <i val="0"/>
        <strike val="0"/>
        <condense val="0"/>
        <extend val="0"/>
        <outline val="0"/>
        <shadow val="0"/>
        <u val="none"/>
        <vertAlign val="baseline"/>
        <sz val="11"/>
        <color theme="1"/>
        <name val="Calibri"/>
        <family val="2"/>
        <charset val="238"/>
        <scheme val="minor"/>
      </font>
    </dxf>
    <dxf>
      <font>
        <b/>
        <strike val="0"/>
        <outline val="0"/>
        <shadow val="0"/>
        <vertAlign val="baseline"/>
        <sz val="12"/>
        <name val="Calibri"/>
        <family val="2"/>
        <scheme val="minor"/>
      </font>
      <numFmt numFmtId="164" formatCode="[$-415]d\ mmm;@"/>
      <protection locked="1" hidden="1"/>
    </dxf>
    <dxf>
      <protection locked="1" hidden="1"/>
    </dxf>
    <dxf>
      <font>
        <strike val="0"/>
        <outline val="0"/>
        <shadow val="0"/>
        <vertAlign val="baseline"/>
        <sz val="12"/>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numFmt numFmtId="165" formatCode="0.00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b/>
        <i val="0"/>
        <strike val="0"/>
        <condense val="0"/>
        <extend val="0"/>
        <outline val="0"/>
        <shadow val="0"/>
        <u val="none"/>
        <vertAlign val="baseline"/>
        <sz val="11"/>
        <color theme="1"/>
        <name val="Calibri"/>
        <family val="2"/>
        <charset val="238"/>
        <scheme val="minor"/>
      </font>
    </dxf>
    <dxf>
      <font>
        <b/>
        <strike val="0"/>
        <outline val="0"/>
        <shadow val="0"/>
        <vertAlign val="baseline"/>
        <sz val="12"/>
        <name val="Calibri"/>
        <family val="2"/>
        <scheme val="minor"/>
      </font>
      <numFmt numFmtId="164" formatCode="[$-415]d\ mmm;@"/>
      <protection locked="1" hidden="1"/>
    </dxf>
    <dxf>
      <protection locked="1" hidden="1"/>
    </dxf>
    <dxf>
      <font>
        <strike val="0"/>
        <outline val="0"/>
        <shadow val="0"/>
        <vertAlign val="baseline"/>
        <sz val="12"/>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numFmt numFmtId="165" formatCode="0.00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b/>
        <i val="0"/>
        <strike val="0"/>
        <condense val="0"/>
        <extend val="0"/>
        <outline val="0"/>
        <shadow val="0"/>
        <u val="none"/>
        <vertAlign val="baseline"/>
        <sz val="11"/>
        <color theme="1"/>
        <name val="Calibri"/>
        <family val="2"/>
        <charset val="238"/>
        <scheme val="minor"/>
      </font>
    </dxf>
    <dxf>
      <font>
        <b/>
        <strike val="0"/>
        <outline val="0"/>
        <shadow val="0"/>
        <vertAlign val="baseline"/>
        <sz val="12"/>
        <name val="Calibri"/>
        <family val="2"/>
        <scheme val="minor"/>
      </font>
      <numFmt numFmtId="164" formatCode="[$-415]d\ mmm;@"/>
      <protection locked="1" hidden="1"/>
    </dxf>
    <dxf>
      <protection locked="1" hidden="1"/>
    </dxf>
    <dxf>
      <font>
        <strike val="0"/>
        <outline val="0"/>
        <shadow val="0"/>
        <vertAlign val="baseline"/>
        <sz val="12"/>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numFmt numFmtId="165" formatCode="0.00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b/>
        <i val="0"/>
        <strike val="0"/>
        <condense val="0"/>
        <extend val="0"/>
        <outline val="0"/>
        <shadow val="0"/>
        <u val="none"/>
        <vertAlign val="baseline"/>
        <sz val="11"/>
        <color theme="1"/>
        <name val="Calibri"/>
        <family val="2"/>
        <charset val="238"/>
        <scheme val="minor"/>
      </font>
    </dxf>
    <dxf>
      <font>
        <b/>
        <strike val="0"/>
        <outline val="0"/>
        <shadow val="0"/>
        <vertAlign val="baseline"/>
        <sz val="12"/>
        <name val="Calibri"/>
        <family val="2"/>
        <scheme val="minor"/>
      </font>
      <numFmt numFmtId="164" formatCode="[$-415]d\ mmm;@"/>
      <protection locked="1" hidden="1"/>
    </dxf>
    <dxf>
      <protection locked="1" hidden="1"/>
    </dxf>
    <dxf>
      <font>
        <strike val="0"/>
        <outline val="0"/>
        <shadow val="0"/>
        <vertAlign val="baseline"/>
        <sz val="12"/>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numFmt numFmtId="165" formatCode="0.00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b/>
        <i val="0"/>
        <strike val="0"/>
        <condense val="0"/>
        <extend val="0"/>
        <outline val="0"/>
        <shadow val="0"/>
        <u val="none"/>
        <vertAlign val="baseline"/>
        <sz val="11"/>
        <color theme="1"/>
        <name val="Calibri"/>
        <family val="2"/>
        <charset val="238"/>
        <scheme val="minor"/>
      </font>
    </dxf>
    <dxf>
      <font>
        <b/>
        <strike val="0"/>
        <outline val="0"/>
        <shadow val="0"/>
        <vertAlign val="baseline"/>
        <sz val="12"/>
        <name val="Calibri"/>
        <family val="2"/>
        <scheme val="minor"/>
      </font>
      <numFmt numFmtId="164" formatCode="[$-415]d\ mmm;@"/>
      <protection locked="1" hidden="1"/>
    </dxf>
    <dxf>
      <protection locked="1" hidden="1"/>
    </dxf>
    <dxf>
      <font>
        <strike val="0"/>
        <outline val="0"/>
        <shadow val="0"/>
        <vertAlign val="baseline"/>
        <sz val="12"/>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numFmt numFmtId="165" formatCode="0.00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b/>
        <i val="0"/>
        <strike val="0"/>
        <condense val="0"/>
        <extend val="0"/>
        <outline val="0"/>
        <shadow val="0"/>
        <u val="none"/>
        <vertAlign val="baseline"/>
        <sz val="11"/>
        <color theme="1"/>
        <name val="Calibri"/>
        <family val="2"/>
        <charset val="238"/>
        <scheme val="minor"/>
      </font>
    </dxf>
    <dxf>
      <font>
        <b/>
        <strike val="0"/>
        <outline val="0"/>
        <shadow val="0"/>
        <vertAlign val="baseline"/>
        <sz val="12"/>
        <name val="Calibri"/>
        <family val="2"/>
        <scheme val="minor"/>
      </font>
      <numFmt numFmtId="164" formatCode="[$-415]d\ mmm;@"/>
      <protection locked="1" hidden="1"/>
    </dxf>
    <dxf>
      <protection locked="1" hidden="1"/>
    </dxf>
    <dxf>
      <font>
        <strike val="0"/>
        <outline val="0"/>
        <shadow val="0"/>
        <vertAlign val="baseline"/>
        <sz val="12"/>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numFmt numFmtId="165" formatCode="0.00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b/>
        <i val="0"/>
        <strike val="0"/>
        <condense val="0"/>
        <extend val="0"/>
        <outline val="0"/>
        <shadow val="0"/>
        <u val="none"/>
        <vertAlign val="baseline"/>
        <sz val="11"/>
        <color theme="1"/>
        <name val="Calibri"/>
        <family val="2"/>
        <charset val="238"/>
        <scheme val="minor"/>
      </font>
    </dxf>
    <dxf>
      <font>
        <b/>
        <strike val="0"/>
        <outline val="0"/>
        <shadow val="0"/>
        <vertAlign val="baseline"/>
        <sz val="12"/>
        <name val="Calibri"/>
        <family val="2"/>
        <scheme val="minor"/>
      </font>
      <numFmt numFmtId="164" formatCode="[$-415]d\ mmm;@"/>
      <protection locked="1" hidden="1"/>
    </dxf>
    <dxf>
      <font>
        <strike val="0"/>
        <outline val="0"/>
        <shadow val="0"/>
        <vertAlign val="baseline"/>
        <sz val="12"/>
        <name val="Calibri"/>
        <family val="2"/>
        <scheme val="minor"/>
      </font>
      <protection locked="1" hidden="1"/>
    </dxf>
    <dxf>
      <font>
        <strike val="0"/>
        <outline val="0"/>
        <shadow val="0"/>
        <vertAlign val="baseline"/>
        <sz val="12"/>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14"/>
        <color theme="1"/>
        <name val="Calibri"/>
        <family val="2"/>
        <scheme val="minor"/>
      </font>
      <numFmt numFmtId="166" formatCode="_-[$€-2]\ * #,##0.00_-;\-[$€-2]\ * #,##0.00_-;_-[$€-2]\ * &quot;-&quot;??_-;_-@_-"/>
      <protection locked="1" hidden="1"/>
    </dxf>
    <dxf>
      <font>
        <strike val="0"/>
        <outline val="0"/>
        <shadow val="0"/>
        <u val="none"/>
        <vertAlign val="baseline"/>
        <sz val="12"/>
        <color theme="1"/>
        <name val="Calibri"/>
        <family val="2"/>
        <scheme val="minor"/>
      </font>
      <numFmt numFmtId="166" formatCode="_-[$€-2]\ * #,##0.00_-;\-[$€-2]\ * #,##0.00_-;_-[$€-2]\ * &quot;-&quot;??_-;_-@_-"/>
      <protection locked="0" hidden="0"/>
    </dxf>
    <dxf>
      <font>
        <b val="0"/>
        <i val="0"/>
        <strike val="0"/>
        <condense val="0"/>
        <extend val="0"/>
        <outline val="0"/>
        <shadow val="0"/>
        <u val="none"/>
        <vertAlign val="baseline"/>
        <sz val="14"/>
        <color theme="1"/>
        <name val="Calibri"/>
        <family val="2"/>
        <scheme val="minor"/>
      </font>
      <numFmt numFmtId="167" formatCode="_-* #,##0.00\ [$zł-415]_-;\-* #,##0.00\ [$zł-415]_-;_-* &quot;-&quot;??\ [$zł-415]_-;_-@_-"/>
      <protection locked="1" hidden="1"/>
    </dxf>
    <dxf>
      <font>
        <strike val="0"/>
        <outline val="0"/>
        <shadow val="0"/>
        <u val="none"/>
        <vertAlign val="baseline"/>
        <sz val="12"/>
        <color theme="1"/>
        <name val="Calibri"/>
        <family val="2"/>
        <scheme val="minor"/>
      </font>
      <numFmt numFmtId="167" formatCode="_-* #,##0.00\ [$zł-415]_-;\-* #,##0.00\ [$zł-415]_-;_-* &quot;-&quot;??\ [$zł-415]_-;_-@_-"/>
      <protection locked="0" hidden="0"/>
    </dxf>
    <dxf>
      <font>
        <b val="0"/>
        <i val="0"/>
        <strike val="0"/>
        <condense val="0"/>
        <extend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0" hidden="0"/>
    </dxf>
    <dxf>
      <font>
        <strike val="0"/>
        <outline val="0"/>
        <shadow val="0"/>
        <u val="none"/>
        <vertAlign val="baseline"/>
        <sz val="14"/>
        <color theme="1"/>
        <name val="Calibri"/>
        <family val="2"/>
        <scheme val="minor"/>
      </font>
      <protection locked="1" hidden="1"/>
    </dxf>
    <dxf>
      <font>
        <strike val="0"/>
        <outline val="0"/>
        <shadow val="0"/>
        <u val="none"/>
        <vertAlign val="baseline"/>
        <sz val="12"/>
        <color theme="1"/>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strike val="0"/>
        <outline val="0"/>
        <shadow val="0"/>
        <u val="none"/>
        <vertAlign val="baseline"/>
        <sz val="12"/>
        <color auto="1"/>
        <name val="Calibri"/>
        <family val="2"/>
        <scheme val="minor"/>
      </font>
      <protection locked="1" hidden="1"/>
    </dxf>
    <dxf>
      <font>
        <strike val="0"/>
        <outline val="0"/>
        <shadow val="0"/>
        <u val="none"/>
        <vertAlign val="baseline"/>
        <sz val="12"/>
        <color auto="1"/>
        <name val="Calibri"/>
        <family val="2"/>
        <scheme val="minor"/>
      </font>
      <numFmt numFmtId="169" formatCode="0.0%"/>
      <protection locked="1" hidden="1"/>
    </dxf>
    <dxf>
      <font>
        <strike val="0"/>
        <outline val="0"/>
        <shadow val="0"/>
        <u val="none"/>
        <vertAlign val="baseline"/>
        <sz val="12"/>
        <color auto="1"/>
        <name val="Calibri"/>
        <family val="2"/>
        <scheme val="minor"/>
      </font>
      <numFmt numFmtId="166" formatCode="_-[$€-2]\ * #,##0.00_-;\-[$€-2]\ * #,##0.00_-;_-[$€-2]\ * &quot;-&quot;??_-;_-@_-"/>
      <fill>
        <patternFill patternType="solid">
          <fgColor indexed="64"/>
          <bgColor rgb="FFBAD1C2"/>
        </patternFill>
      </fill>
      <protection locked="1" hidden="1"/>
    </dxf>
    <dxf>
      <font>
        <strike val="0"/>
        <outline val="0"/>
        <shadow val="0"/>
        <u val="none"/>
        <vertAlign val="baseline"/>
        <sz val="12"/>
        <color auto="1"/>
        <name val="Calibri"/>
        <family val="2"/>
        <scheme val="minor"/>
      </font>
      <numFmt numFmtId="166" formatCode="_-[$€-2]\ * #,##0.00_-;\-[$€-2]\ * #,##0.00_-;_-[$€-2]\ * &quot;-&quot;??_-;_-@_-"/>
      <protection locked="0" hidden="0"/>
    </dxf>
    <dxf>
      <font>
        <b/>
        <i/>
        <strike val="0"/>
        <outline val="0"/>
        <shadow val="0"/>
        <u val="none"/>
        <vertAlign val="baseline"/>
        <sz val="12"/>
        <color auto="1"/>
        <name val="Calibri"/>
        <family val="2"/>
        <charset val="238"/>
        <scheme val="minor"/>
      </font>
      <protection locked="1" hidden="1"/>
    </dxf>
    <dxf>
      <protection locked="1" hidden="1"/>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sz val="12"/>
        <color auto="1"/>
        <name val="Calibri"/>
        <family val="2"/>
        <scheme val="minor"/>
      </font>
      <protection locked="1" hidden="1"/>
    </dxf>
    <dxf>
      <font>
        <strike val="0"/>
        <outline val="0"/>
        <shadow val="0"/>
        <u val="none"/>
        <vertAlign val="baseline"/>
        <sz val="12"/>
        <color theme="0"/>
        <name val="Calibri"/>
        <family val="2"/>
        <scheme val="minor"/>
      </font>
      <fill>
        <patternFill patternType="solid">
          <fgColor indexed="64"/>
          <bgColor rgb="FF4FA095"/>
        </patternFill>
      </fill>
      <alignment horizontal="center" vertical="center" textRotation="0" wrapText="1" indent="0" justifyLastLine="0" shrinkToFit="0" readingOrder="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numFmt numFmtId="165" formatCode="0.000"/>
      <protection locked="1" hidden="1"/>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strike val="0"/>
        <outline val="0"/>
        <shadow val="0"/>
        <vertAlign val="baseline"/>
        <sz val="12"/>
        <name val="Calibri"/>
        <family val="2"/>
        <scheme val="minor"/>
      </font>
      <protection locked="0" hidden="0"/>
    </dxf>
    <dxf>
      <font>
        <b/>
        <i val="0"/>
        <strike val="0"/>
        <condense val="0"/>
        <extend val="0"/>
        <outline val="0"/>
        <shadow val="0"/>
        <u val="none"/>
        <vertAlign val="baseline"/>
        <sz val="11"/>
        <color theme="1"/>
        <name val="Calibri"/>
        <family val="2"/>
        <charset val="238"/>
        <scheme val="minor"/>
      </font>
    </dxf>
    <dxf>
      <font>
        <b/>
        <strike val="0"/>
        <outline val="0"/>
        <shadow val="0"/>
        <vertAlign val="baseline"/>
        <sz val="12"/>
        <name val="Calibri"/>
        <family val="2"/>
        <scheme val="minor"/>
      </font>
      <numFmt numFmtId="164" formatCode="[$-415]d\ mmm;@"/>
      <protection locked="1" hidden="1"/>
    </dxf>
    <dxf>
      <protection locked="1" hidden="1"/>
    </dxf>
    <dxf>
      <font>
        <strike val="0"/>
        <outline val="0"/>
        <shadow val="0"/>
        <vertAlign val="baseline"/>
        <sz val="12"/>
        <name val="Calibri"/>
        <family val="2"/>
        <scheme val="minor"/>
      </font>
      <protection locked="1" hidden="1"/>
    </dxf>
    <dxf>
      <font>
        <strike val="0"/>
        <outline val="0"/>
        <shadow val="0"/>
        <u val="none"/>
        <vertAlign val="baseline"/>
        <sz val="12"/>
        <color theme="1"/>
        <name val="Calibri"/>
        <family val="2"/>
        <scheme val="minor"/>
      </font>
      <fill>
        <patternFill patternType="solid">
          <fgColor indexed="64"/>
          <bgColor rgb="FF4FA095"/>
        </patternFill>
      </fill>
      <alignment horizontal="center" vertical="center" textRotation="0" wrapText="0" indent="0" justifyLastLine="0" shrinkToFit="0" readingOrder="0"/>
      <protection locked="1" hidden="1"/>
    </dxf>
    <dxf>
      <font>
        <b/>
        <i val="0"/>
      </font>
      <border>
        <top style="double">
          <color auto="1"/>
        </top>
      </border>
    </dxf>
    <dxf>
      <font>
        <b/>
        <i val="0"/>
        <color theme="0"/>
      </font>
      <fill>
        <patternFill>
          <bgColor rgb="FF224F86"/>
        </patternFill>
      </fill>
    </dxf>
    <dxf>
      <fill>
        <patternFill>
          <bgColor theme="0" tint="-4.9989318521683403E-2"/>
        </patternFill>
      </fill>
      <border>
        <vertical style="thin">
          <color auto="1"/>
        </vertical>
        <horizontal style="thin">
          <color auto="1"/>
        </horizontal>
      </border>
    </dxf>
    <dxf>
      <fill>
        <patternFill patternType="solid">
          <fgColor theme="4" tint="-0.249977111117893"/>
          <bgColor rgb="FF224F86"/>
        </patternFill>
      </fill>
    </dxf>
    <dxf>
      <fill>
        <patternFill patternType="solid">
          <fgColor theme="4" tint="-0.249977111117893"/>
          <bgColor theme="4" tint="-0.249977111117893"/>
        </patternFill>
      </fill>
    </dxf>
    <dxf>
      <font>
        <b/>
        <color theme="0"/>
      </font>
      <fill>
        <patternFill patternType="solid">
          <fgColor theme="4" tint="-0.249977111117893"/>
          <bgColor theme="4" tint="-0.249977111117893"/>
        </patternFill>
      </fill>
      <border>
        <left style="medium">
          <color theme="0"/>
        </left>
      </border>
    </dxf>
    <dxf>
      <font>
        <b/>
        <color theme="0"/>
      </font>
      <fill>
        <patternFill patternType="solid">
          <fgColor theme="4" tint="-0.249977111117893"/>
          <bgColor theme="4" tint="-0.249977111117893"/>
        </patternFill>
      </fill>
      <border>
        <right style="medium">
          <color theme="0"/>
        </right>
      </border>
    </dxf>
    <dxf>
      <font>
        <b/>
        <color theme="0"/>
      </font>
      <fill>
        <patternFill patternType="solid">
          <fgColor theme="4" tint="-0.499984740745262"/>
          <bgColor theme="4" tint="-0.499984740745262"/>
        </patternFill>
      </fill>
      <border>
        <top style="medium">
          <color theme="0"/>
        </top>
      </border>
    </dxf>
    <dxf>
      <font>
        <b/>
        <color theme="0"/>
      </font>
      <fill>
        <patternFill patternType="solid">
          <fgColor theme="1"/>
          <bgColor theme="1"/>
        </patternFill>
      </fill>
      <border>
        <bottom style="medium">
          <color theme="0"/>
        </bottom>
      </border>
    </dxf>
    <dxf>
      <font>
        <color theme="0"/>
      </font>
      <fill>
        <patternFill patternType="solid">
          <fgColor theme="4"/>
          <bgColor theme="6" tint="0.79998168889431442"/>
        </patternFill>
      </fill>
    </dxf>
  </dxfs>
  <tableStyles count="2" defaultTableStyle="Kalkulator" defaultPivotStyle="PivotStyleLight16">
    <tableStyle name="Kalkulator" pivot="0" count="7" xr9:uid="{5FF84A16-0816-4028-A022-E2B895D41ECD}">
      <tableStyleElement type="wholeTable" dxfId="357"/>
      <tableStyleElement type="headerRow" dxfId="356"/>
      <tableStyleElement type="totalRow" dxfId="355"/>
      <tableStyleElement type="firstColumn" dxfId="354"/>
      <tableStyleElement type="lastColumn" dxfId="353"/>
      <tableStyleElement type="firstRowStripe" dxfId="352"/>
      <tableStyleElement type="firstColumnStripe" dxfId="351"/>
    </tableStyle>
    <tableStyle name="Kalkulator2" pivot="0" count="3" xr9:uid="{742B260D-DCC8-4CBF-8F79-DDA0D027BFB2}">
      <tableStyleElement type="wholeTable" dxfId="350"/>
      <tableStyleElement type="headerRow" dxfId="349"/>
      <tableStyleElement type="totalRow" dxfId="348"/>
    </tableStyle>
  </tableStyles>
  <colors>
    <mruColors>
      <color rgb="FFBAD1C2"/>
      <color rgb="FFF6F6C9"/>
      <color rgb="FF153462"/>
      <color rgb="FF4FA095"/>
      <color rgb="FFEB6440"/>
      <color rgb="FF497174"/>
      <color rgb="FFFF9F9F"/>
      <color rgb="FFD3D3D3"/>
      <color rgb="FF588BAE"/>
      <color rgb="FFFFF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pl-PL"/>
              <a:t>ZYSK NETTO FIRMY [PLN]</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pl-PL"/>
        </a:p>
      </c:txPr>
    </c:title>
    <c:autoTitleDeleted val="0"/>
    <c:plotArea>
      <c:layout/>
      <c:lineChart>
        <c:grouping val="standard"/>
        <c:varyColors val="0"/>
        <c:ser>
          <c:idx val="0"/>
          <c:order val="0"/>
          <c:tx>
            <c:strRef>
              <c:f>Wyniki!$K$4</c:f>
              <c:strCache>
                <c:ptCount val="1"/>
                <c:pt idx="0">
                  <c:v>Zysk netto</c:v>
                </c:pt>
              </c:strCache>
            </c:strRef>
          </c:tx>
          <c:spPr>
            <a:ln w="22225" cap="rnd">
              <a:solidFill>
                <a:schemeClr val="accent6"/>
              </a:solidFill>
              <a:round/>
            </a:ln>
            <a:effectLst/>
          </c:spPr>
          <c:marker>
            <c:symbol val="diamond"/>
            <c:size val="6"/>
            <c:spPr>
              <a:solidFill>
                <a:schemeClr val="accent6"/>
              </a:solidFill>
              <a:ln w="9525">
                <a:solidFill>
                  <a:schemeClr val="accent6"/>
                </a:solidFill>
                <a:round/>
              </a:ln>
              <a:effectLst/>
            </c:spPr>
          </c:marker>
          <c:cat>
            <c:multiLvlStrRef>
              <c:f>Wyniki!$B$5:$C$16</c:f>
              <c:multiLvlStrCache>
                <c:ptCount val="12"/>
                <c:lvl>
                  <c:pt idx="0">
                    <c:v>2023</c:v>
                  </c:pt>
                  <c:pt idx="1">
                    <c:v>2023</c:v>
                  </c:pt>
                  <c:pt idx="2">
                    <c:v>2023</c:v>
                  </c:pt>
                  <c:pt idx="3">
                    <c:v>2023</c:v>
                  </c:pt>
                  <c:pt idx="4">
                    <c:v>2023</c:v>
                  </c:pt>
                  <c:pt idx="5">
                    <c:v>2023</c:v>
                  </c:pt>
                  <c:pt idx="6">
                    <c:v>2023</c:v>
                  </c:pt>
                  <c:pt idx="7">
                    <c:v>2023</c:v>
                  </c:pt>
                  <c:pt idx="8">
                    <c:v>2023</c:v>
                  </c:pt>
                  <c:pt idx="9">
                    <c:v>2023</c:v>
                  </c:pt>
                  <c:pt idx="10">
                    <c:v>2023</c:v>
                  </c:pt>
                  <c:pt idx="11">
                    <c:v>2023</c:v>
                  </c:pt>
                </c:lvl>
                <c:lvl>
                  <c:pt idx="0">
                    <c:v>Styczeń</c:v>
                  </c:pt>
                  <c:pt idx="1">
                    <c:v>Luty</c:v>
                  </c:pt>
                  <c:pt idx="2">
                    <c:v>Marzec</c:v>
                  </c:pt>
                  <c:pt idx="3">
                    <c:v>Kwiecień</c:v>
                  </c:pt>
                  <c:pt idx="4">
                    <c:v>Maj</c:v>
                  </c:pt>
                  <c:pt idx="5">
                    <c:v>Czerwiec</c:v>
                  </c:pt>
                  <c:pt idx="6">
                    <c:v>Lipiec</c:v>
                  </c:pt>
                  <c:pt idx="7">
                    <c:v>Sierpień</c:v>
                  </c:pt>
                  <c:pt idx="8">
                    <c:v>Wrzesień</c:v>
                  </c:pt>
                  <c:pt idx="9">
                    <c:v>Październik</c:v>
                  </c:pt>
                  <c:pt idx="10">
                    <c:v>Listopad</c:v>
                  </c:pt>
                  <c:pt idx="11">
                    <c:v>Grudzień</c:v>
                  </c:pt>
                </c:lvl>
              </c:multiLvlStrCache>
            </c:multiLvlStrRef>
          </c:cat>
          <c:val>
            <c:numRef>
              <c:f>Wyniki!$K$4:$K$16</c:f>
              <c:numCache>
                <c:formatCode>_-* #\ ##0.00\ [$zł-415]_-;\-* #\ ##0.00\ [$zł-415]_-;_-* "-"??\ [$zł-415]_-;_-@_-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0724-444B-9AD4-B30B8D1A6F1A}"/>
            </c:ext>
          </c:extLst>
        </c:ser>
        <c:dLbls>
          <c:showLegendKey val="0"/>
          <c:showVal val="0"/>
          <c:showCatName val="0"/>
          <c:showSerName val="0"/>
          <c:showPercent val="0"/>
          <c:showBubbleSize val="0"/>
        </c:dLbls>
        <c:marker val="1"/>
        <c:smooth val="0"/>
        <c:axId val="403096608"/>
        <c:axId val="403097264"/>
      </c:lineChart>
      <c:catAx>
        <c:axId val="4030966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pl-PL"/>
          </a:p>
        </c:txPr>
        <c:crossAx val="403097264"/>
        <c:crosses val="autoZero"/>
        <c:auto val="1"/>
        <c:lblAlgn val="ctr"/>
        <c:lblOffset val="100"/>
        <c:noMultiLvlLbl val="0"/>
      </c:catAx>
      <c:valAx>
        <c:axId val="403097264"/>
        <c:scaling>
          <c:orientation val="minMax"/>
        </c:scaling>
        <c:delete val="0"/>
        <c:axPos val="l"/>
        <c:numFmt formatCode="_-* #\ ##0.00\ [$zł-415]_-;\-* #\ ##0.00\ [$zł-415]_-;_-* &quot;-&quot;??\ [$zł-415]_-;_-@_-"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403096608"/>
        <c:crosses val="autoZero"/>
        <c:crossBetween val="between"/>
      </c:valAx>
      <c:spPr>
        <a:blipFill>
          <a:blip xmlns:r="http://schemas.openxmlformats.org/officeDocument/2006/relationships" r:embed="rId3">
            <a:alphaModFix amt="32000"/>
          </a:blip>
          <a:stretch>
            <a:fillRect/>
          </a:stretch>
        </a:blip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0</xdr:colOff>
      <xdr:row>76</xdr:row>
      <xdr:rowOff>0</xdr:rowOff>
    </xdr:from>
    <xdr:to>
      <xdr:col>14</xdr:col>
      <xdr:colOff>0</xdr:colOff>
      <xdr:row>77</xdr:row>
      <xdr:rowOff>268941</xdr:rowOff>
    </xdr:to>
    <xdr:sp macro="" textlink="">
      <xdr:nvSpPr>
        <xdr:cNvPr id="19" name="Prostokąt 18">
          <a:extLst>
            <a:ext uri="{FF2B5EF4-FFF2-40B4-BE49-F238E27FC236}">
              <a16:creationId xmlns:a16="http://schemas.microsoft.com/office/drawing/2014/main" id="{B21FD899-CCB3-4D88-A4A6-D6F15F1EE583}"/>
            </a:ext>
          </a:extLst>
        </xdr:cNvPr>
        <xdr:cNvSpPr/>
      </xdr:nvSpPr>
      <xdr:spPr>
        <a:xfrm>
          <a:off x="8667750" y="16913679"/>
          <a:ext cx="5293179" cy="513869"/>
        </a:xfrm>
        <a:prstGeom prst="rect">
          <a:avLst/>
        </a:prstGeom>
        <a:noFill/>
        <a:ln w="12700">
          <a:noFill/>
        </a:ln>
        <a:effectLst>
          <a:outerShdw blurRad="241300" dist="304800" dir="5400000" rotWithShape="0">
            <a:schemeClr val="accent1">
              <a:lumMod val="50000"/>
              <a:alpha val="36000"/>
            </a:schemeClr>
          </a:outerShdw>
        </a:effectLst>
        <a:extLst>
          <a:ext uri="{53640926-AAD7-44D8-BBD7-CCE9431645EC}">
            <a14:shadowObscured xmlns:a14="http://schemas.microsoft.com/office/drawing/2010/main" val="1"/>
          </a:ext>
        </a:extLst>
      </xdr:spPr>
      <xdr:txBody>
        <a:bodyPr vertOverflow="clip" horzOverflow="clip" wrap="square"/>
        <a:lstStyle/>
        <a:p>
          <a:endParaRPr lang="pl-PL" sz="1100"/>
        </a:p>
      </xdr:txBody>
    </xdr:sp>
    <xdr:clientData/>
  </xdr:twoCellAnchor>
  <xdr:twoCellAnchor>
    <xdr:from>
      <xdr:col>9</xdr:col>
      <xdr:colOff>0</xdr:colOff>
      <xdr:row>37</xdr:row>
      <xdr:rowOff>0</xdr:rowOff>
    </xdr:from>
    <xdr:to>
      <xdr:col>14</xdr:col>
      <xdr:colOff>0</xdr:colOff>
      <xdr:row>38</xdr:row>
      <xdr:rowOff>268941</xdr:rowOff>
    </xdr:to>
    <xdr:sp macro="" textlink="">
      <xdr:nvSpPr>
        <xdr:cNvPr id="20" name="Prostokąt 19">
          <a:extLst>
            <a:ext uri="{FF2B5EF4-FFF2-40B4-BE49-F238E27FC236}">
              <a16:creationId xmlns:a16="http://schemas.microsoft.com/office/drawing/2014/main" id="{4A3F090B-95BC-46E1-90DF-AD4EDDE5EFA9}"/>
            </a:ext>
          </a:extLst>
        </xdr:cNvPr>
        <xdr:cNvSpPr/>
      </xdr:nvSpPr>
      <xdr:spPr>
        <a:xfrm>
          <a:off x="8667750" y="8558893"/>
          <a:ext cx="5293179" cy="513869"/>
        </a:xfrm>
        <a:prstGeom prst="rect">
          <a:avLst/>
        </a:prstGeom>
        <a:noFill/>
        <a:ln w="12700">
          <a:noFill/>
        </a:ln>
        <a:effectLst>
          <a:outerShdw blurRad="241300" dist="304800" dir="5400000" rotWithShape="0">
            <a:schemeClr val="accent1">
              <a:lumMod val="50000"/>
              <a:alpha val="36000"/>
            </a:schemeClr>
          </a:outerShdw>
        </a:effectLst>
        <a:extLst>
          <a:ext uri="{53640926-AAD7-44D8-BBD7-CCE9431645EC}">
            <a14:shadowObscured xmlns:a14="http://schemas.microsoft.com/office/drawing/2010/main" val="1"/>
          </a:ext>
        </a:extLst>
      </xdr:spPr>
      <xdr:txBody>
        <a:bodyPr vertOverflow="clip" horzOverflow="clip" wrap="square"/>
        <a:lstStyle/>
        <a:p>
          <a:endParaRPr lang="pl-PL" sz="1100"/>
        </a:p>
      </xdr:txBody>
    </xdr:sp>
    <xdr:clientData/>
  </xdr:twoCellAnchor>
  <xdr:twoCellAnchor>
    <xdr:from>
      <xdr:col>9</xdr:col>
      <xdr:colOff>0</xdr:colOff>
      <xdr:row>115</xdr:row>
      <xdr:rowOff>0</xdr:rowOff>
    </xdr:from>
    <xdr:to>
      <xdr:col>14</xdr:col>
      <xdr:colOff>0</xdr:colOff>
      <xdr:row>116</xdr:row>
      <xdr:rowOff>268940</xdr:rowOff>
    </xdr:to>
    <xdr:sp macro="" textlink="">
      <xdr:nvSpPr>
        <xdr:cNvPr id="21" name="Prostokąt 20">
          <a:extLst>
            <a:ext uri="{FF2B5EF4-FFF2-40B4-BE49-F238E27FC236}">
              <a16:creationId xmlns:a16="http://schemas.microsoft.com/office/drawing/2014/main" id="{055532D6-D9E6-48E6-B04A-0DC05669B87B}"/>
            </a:ext>
          </a:extLst>
        </xdr:cNvPr>
        <xdr:cNvSpPr/>
      </xdr:nvSpPr>
      <xdr:spPr>
        <a:xfrm>
          <a:off x="8667750" y="25282071"/>
          <a:ext cx="5293179" cy="513869"/>
        </a:xfrm>
        <a:prstGeom prst="rect">
          <a:avLst/>
        </a:prstGeom>
        <a:noFill/>
        <a:ln w="12700">
          <a:noFill/>
        </a:ln>
        <a:effectLst>
          <a:outerShdw blurRad="241300" dist="304800" dir="5400000" rotWithShape="0">
            <a:schemeClr val="accent1">
              <a:lumMod val="50000"/>
              <a:alpha val="36000"/>
            </a:schemeClr>
          </a:outerShdw>
        </a:effectLst>
        <a:extLst>
          <a:ext uri="{53640926-AAD7-44D8-BBD7-CCE9431645EC}">
            <a14:shadowObscured xmlns:a14="http://schemas.microsoft.com/office/drawing/2010/main" val="1"/>
          </a:ext>
        </a:extLst>
      </xdr:spPr>
      <xdr:txBody>
        <a:bodyPr vertOverflow="clip" horzOverflow="clip" wrap="square"/>
        <a:lstStyle/>
        <a:p>
          <a:endParaRPr lang="pl-PL" sz="1100"/>
        </a:p>
      </xdr:txBody>
    </xdr:sp>
    <xdr:clientData/>
  </xdr:twoCellAnchor>
  <xdr:twoCellAnchor>
    <xdr:from>
      <xdr:col>9</xdr:col>
      <xdr:colOff>0</xdr:colOff>
      <xdr:row>154</xdr:row>
      <xdr:rowOff>0</xdr:rowOff>
    </xdr:from>
    <xdr:to>
      <xdr:col>14</xdr:col>
      <xdr:colOff>0</xdr:colOff>
      <xdr:row>155</xdr:row>
      <xdr:rowOff>268940</xdr:rowOff>
    </xdr:to>
    <xdr:sp macro="" textlink="">
      <xdr:nvSpPr>
        <xdr:cNvPr id="22" name="Prostokąt 21">
          <a:extLst>
            <a:ext uri="{FF2B5EF4-FFF2-40B4-BE49-F238E27FC236}">
              <a16:creationId xmlns:a16="http://schemas.microsoft.com/office/drawing/2014/main" id="{C9897AA0-6D0E-4E42-A381-FB89F45F6FA3}"/>
            </a:ext>
          </a:extLst>
        </xdr:cNvPr>
        <xdr:cNvSpPr/>
      </xdr:nvSpPr>
      <xdr:spPr>
        <a:xfrm>
          <a:off x="8667750" y="33636857"/>
          <a:ext cx="5293179" cy="513869"/>
        </a:xfrm>
        <a:prstGeom prst="rect">
          <a:avLst/>
        </a:prstGeom>
        <a:noFill/>
        <a:ln w="12700">
          <a:noFill/>
        </a:ln>
        <a:effectLst>
          <a:outerShdw blurRad="241300" dist="304800" dir="5400000" rotWithShape="0">
            <a:schemeClr val="accent1">
              <a:lumMod val="50000"/>
              <a:alpha val="36000"/>
            </a:schemeClr>
          </a:outerShdw>
        </a:effectLst>
        <a:extLst>
          <a:ext uri="{53640926-AAD7-44D8-BBD7-CCE9431645EC}">
            <a14:shadowObscured xmlns:a14="http://schemas.microsoft.com/office/drawing/2010/main" val="1"/>
          </a:ext>
        </a:extLst>
      </xdr:spPr>
      <xdr:txBody>
        <a:bodyPr vertOverflow="clip" horzOverflow="clip" wrap="square"/>
        <a:lstStyle/>
        <a:p>
          <a:endParaRPr lang="pl-PL" sz="1100"/>
        </a:p>
      </xdr:txBody>
    </xdr:sp>
    <xdr:clientData/>
  </xdr:twoCellAnchor>
  <xdr:twoCellAnchor>
    <xdr:from>
      <xdr:col>9</xdr:col>
      <xdr:colOff>0</xdr:colOff>
      <xdr:row>193</xdr:row>
      <xdr:rowOff>0</xdr:rowOff>
    </xdr:from>
    <xdr:to>
      <xdr:col>14</xdr:col>
      <xdr:colOff>0</xdr:colOff>
      <xdr:row>194</xdr:row>
      <xdr:rowOff>268941</xdr:rowOff>
    </xdr:to>
    <xdr:sp macro="" textlink="">
      <xdr:nvSpPr>
        <xdr:cNvPr id="23" name="Prostokąt 22">
          <a:extLst>
            <a:ext uri="{FF2B5EF4-FFF2-40B4-BE49-F238E27FC236}">
              <a16:creationId xmlns:a16="http://schemas.microsoft.com/office/drawing/2014/main" id="{957BB277-25D1-45DB-B0D8-92F37D86E52B}"/>
            </a:ext>
          </a:extLst>
        </xdr:cNvPr>
        <xdr:cNvSpPr/>
      </xdr:nvSpPr>
      <xdr:spPr>
        <a:xfrm>
          <a:off x="8667750" y="41991643"/>
          <a:ext cx="5293179" cy="513869"/>
        </a:xfrm>
        <a:prstGeom prst="rect">
          <a:avLst/>
        </a:prstGeom>
        <a:noFill/>
        <a:ln w="12700">
          <a:noFill/>
        </a:ln>
        <a:effectLst>
          <a:outerShdw blurRad="241300" dist="304800" dir="5400000" rotWithShape="0">
            <a:schemeClr val="accent1">
              <a:lumMod val="50000"/>
              <a:alpha val="36000"/>
            </a:schemeClr>
          </a:outerShdw>
        </a:effectLst>
        <a:extLst>
          <a:ext uri="{53640926-AAD7-44D8-BBD7-CCE9431645EC}">
            <a14:shadowObscured xmlns:a14="http://schemas.microsoft.com/office/drawing/2010/main" val="1"/>
          </a:ext>
        </a:extLst>
      </xdr:spPr>
      <xdr:txBody>
        <a:bodyPr vertOverflow="clip" horzOverflow="clip" wrap="square"/>
        <a:lstStyle/>
        <a:p>
          <a:endParaRPr lang="pl-PL" sz="1100"/>
        </a:p>
      </xdr:txBody>
    </xdr:sp>
    <xdr:clientData/>
  </xdr:twoCellAnchor>
  <xdr:twoCellAnchor>
    <xdr:from>
      <xdr:col>9</xdr:col>
      <xdr:colOff>0</xdr:colOff>
      <xdr:row>232</xdr:row>
      <xdr:rowOff>0</xdr:rowOff>
    </xdr:from>
    <xdr:to>
      <xdr:col>14</xdr:col>
      <xdr:colOff>0</xdr:colOff>
      <xdr:row>233</xdr:row>
      <xdr:rowOff>268941</xdr:rowOff>
    </xdr:to>
    <xdr:sp macro="" textlink="">
      <xdr:nvSpPr>
        <xdr:cNvPr id="24" name="Prostokąt 23">
          <a:extLst>
            <a:ext uri="{FF2B5EF4-FFF2-40B4-BE49-F238E27FC236}">
              <a16:creationId xmlns:a16="http://schemas.microsoft.com/office/drawing/2014/main" id="{7412E1A4-C379-41AE-A65C-36EFE83AA70A}"/>
            </a:ext>
          </a:extLst>
        </xdr:cNvPr>
        <xdr:cNvSpPr/>
      </xdr:nvSpPr>
      <xdr:spPr>
        <a:xfrm>
          <a:off x="8667750" y="50346429"/>
          <a:ext cx="5293179" cy="513869"/>
        </a:xfrm>
        <a:prstGeom prst="rect">
          <a:avLst/>
        </a:prstGeom>
        <a:noFill/>
        <a:ln w="12700">
          <a:noFill/>
        </a:ln>
        <a:effectLst>
          <a:outerShdw blurRad="241300" dist="304800" dir="5400000" rotWithShape="0">
            <a:schemeClr val="accent1">
              <a:lumMod val="50000"/>
              <a:alpha val="36000"/>
            </a:schemeClr>
          </a:outerShdw>
        </a:effectLst>
        <a:extLst>
          <a:ext uri="{53640926-AAD7-44D8-BBD7-CCE9431645EC}">
            <a14:shadowObscured xmlns:a14="http://schemas.microsoft.com/office/drawing/2010/main" val="1"/>
          </a:ext>
        </a:extLst>
      </xdr:spPr>
      <xdr:txBody>
        <a:bodyPr vertOverflow="clip" horzOverflow="clip" wrap="square"/>
        <a:lstStyle/>
        <a:p>
          <a:endParaRPr lang="pl-PL" sz="1100"/>
        </a:p>
      </xdr:txBody>
    </xdr:sp>
    <xdr:clientData/>
  </xdr:twoCellAnchor>
  <xdr:twoCellAnchor>
    <xdr:from>
      <xdr:col>9</xdr:col>
      <xdr:colOff>0</xdr:colOff>
      <xdr:row>271</xdr:row>
      <xdr:rowOff>0</xdr:rowOff>
    </xdr:from>
    <xdr:to>
      <xdr:col>14</xdr:col>
      <xdr:colOff>0</xdr:colOff>
      <xdr:row>272</xdr:row>
      <xdr:rowOff>268940</xdr:rowOff>
    </xdr:to>
    <xdr:sp macro="" textlink="">
      <xdr:nvSpPr>
        <xdr:cNvPr id="25" name="Prostokąt 24">
          <a:extLst>
            <a:ext uri="{FF2B5EF4-FFF2-40B4-BE49-F238E27FC236}">
              <a16:creationId xmlns:a16="http://schemas.microsoft.com/office/drawing/2014/main" id="{F152D3FA-C03A-4C74-B7E4-1CBE203917DE}"/>
            </a:ext>
          </a:extLst>
        </xdr:cNvPr>
        <xdr:cNvSpPr/>
      </xdr:nvSpPr>
      <xdr:spPr>
        <a:xfrm>
          <a:off x="8667750" y="58701214"/>
          <a:ext cx="5293179" cy="513869"/>
        </a:xfrm>
        <a:prstGeom prst="rect">
          <a:avLst/>
        </a:prstGeom>
        <a:noFill/>
        <a:ln w="12700">
          <a:noFill/>
        </a:ln>
        <a:effectLst>
          <a:outerShdw blurRad="241300" dist="304800" dir="5400000" rotWithShape="0">
            <a:schemeClr val="accent1">
              <a:lumMod val="50000"/>
              <a:alpha val="36000"/>
            </a:schemeClr>
          </a:outerShdw>
        </a:effectLst>
        <a:extLst>
          <a:ext uri="{53640926-AAD7-44D8-BBD7-CCE9431645EC}">
            <a14:shadowObscured xmlns:a14="http://schemas.microsoft.com/office/drawing/2010/main" val="1"/>
          </a:ext>
        </a:extLst>
      </xdr:spPr>
      <xdr:txBody>
        <a:bodyPr vertOverflow="clip" horzOverflow="clip" wrap="square"/>
        <a:lstStyle/>
        <a:p>
          <a:endParaRPr lang="pl-PL" sz="1100"/>
        </a:p>
      </xdr:txBody>
    </xdr:sp>
    <xdr:clientData/>
  </xdr:twoCellAnchor>
  <xdr:twoCellAnchor>
    <xdr:from>
      <xdr:col>9</xdr:col>
      <xdr:colOff>0</xdr:colOff>
      <xdr:row>310</xdr:row>
      <xdr:rowOff>0</xdr:rowOff>
    </xdr:from>
    <xdr:to>
      <xdr:col>14</xdr:col>
      <xdr:colOff>0</xdr:colOff>
      <xdr:row>311</xdr:row>
      <xdr:rowOff>268940</xdr:rowOff>
    </xdr:to>
    <xdr:sp macro="" textlink="">
      <xdr:nvSpPr>
        <xdr:cNvPr id="26" name="Prostokąt 25">
          <a:extLst>
            <a:ext uri="{FF2B5EF4-FFF2-40B4-BE49-F238E27FC236}">
              <a16:creationId xmlns:a16="http://schemas.microsoft.com/office/drawing/2014/main" id="{BC587656-6425-4761-9364-146C73B73FC9}"/>
            </a:ext>
          </a:extLst>
        </xdr:cNvPr>
        <xdr:cNvSpPr/>
      </xdr:nvSpPr>
      <xdr:spPr>
        <a:xfrm>
          <a:off x="8667750" y="67056000"/>
          <a:ext cx="5293179" cy="513869"/>
        </a:xfrm>
        <a:prstGeom prst="rect">
          <a:avLst/>
        </a:prstGeom>
        <a:noFill/>
        <a:ln w="12700">
          <a:noFill/>
        </a:ln>
        <a:effectLst>
          <a:outerShdw blurRad="241300" dist="304800" dir="5400000" rotWithShape="0">
            <a:schemeClr val="accent1">
              <a:lumMod val="50000"/>
              <a:alpha val="36000"/>
            </a:schemeClr>
          </a:outerShdw>
        </a:effectLst>
        <a:extLst>
          <a:ext uri="{53640926-AAD7-44D8-BBD7-CCE9431645EC}">
            <a14:shadowObscured xmlns:a14="http://schemas.microsoft.com/office/drawing/2010/main" val="1"/>
          </a:ext>
        </a:extLst>
      </xdr:spPr>
      <xdr:txBody>
        <a:bodyPr vertOverflow="clip" horzOverflow="clip" wrap="square"/>
        <a:lstStyle/>
        <a:p>
          <a:endParaRPr lang="pl-PL" sz="1100"/>
        </a:p>
      </xdr:txBody>
    </xdr:sp>
    <xdr:clientData/>
  </xdr:twoCellAnchor>
  <xdr:twoCellAnchor>
    <xdr:from>
      <xdr:col>9</xdr:col>
      <xdr:colOff>0</xdr:colOff>
      <xdr:row>349</xdr:row>
      <xdr:rowOff>0</xdr:rowOff>
    </xdr:from>
    <xdr:to>
      <xdr:col>14</xdr:col>
      <xdr:colOff>0</xdr:colOff>
      <xdr:row>350</xdr:row>
      <xdr:rowOff>268941</xdr:rowOff>
    </xdr:to>
    <xdr:sp macro="" textlink="">
      <xdr:nvSpPr>
        <xdr:cNvPr id="27" name="Prostokąt 26">
          <a:extLst>
            <a:ext uri="{FF2B5EF4-FFF2-40B4-BE49-F238E27FC236}">
              <a16:creationId xmlns:a16="http://schemas.microsoft.com/office/drawing/2014/main" id="{48175180-D36A-4490-B706-3ECC64A0A76B}"/>
            </a:ext>
          </a:extLst>
        </xdr:cNvPr>
        <xdr:cNvSpPr/>
      </xdr:nvSpPr>
      <xdr:spPr>
        <a:xfrm>
          <a:off x="8667750" y="75410786"/>
          <a:ext cx="5293179" cy="513869"/>
        </a:xfrm>
        <a:prstGeom prst="rect">
          <a:avLst/>
        </a:prstGeom>
        <a:noFill/>
        <a:ln w="12700">
          <a:noFill/>
        </a:ln>
        <a:effectLst>
          <a:outerShdw blurRad="241300" dist="304800" dir="5400000" rotWithShape="0">
            <a:schemeClr val="accent1">
              <a:lumMod val="50000"/>
              <a:alpha val="36000"/>
            </a:schemeClr>
          </a:outerShdw>
        </a:effectLst>
        <a:extLst>
          <a:ext uri="{53640926-AAD7-44D8-BBD7-CCE9431645EC}">
            <a14:shadowObscured xmlns:a14="http://schemas.microsoft.com/office/drawing/2010/main" val="1"/>
          </a:ext>
        </a:extLst>
      </xdr:spPr>
      <xdr:txBody>
        <a:bodyPr vertOverflow="clip" horzOverflow="clip" wrap="square"/>
        <a:lstStyle/>
        <a:p>
          <a:endParaRPr lang="pl-PL" sz="1100"/>
        </a:p>
      </xdr:txBody>
    </xdr:sp>
    <xdr:clientData/>
  </xdr:twoCellAnchor>
  <xdr:twoCellAnchor>
    <xdr:from>
      <xdr:col>9</xdr:col>
      <xdr:colOff>0</xdr:colOff>
      <xdr:row>388</xdr:row>
      <xdr:rowOff>0</xdr:rowOff>
    </xdr:from>
    <xdr:to>
      <xdr:col>14</xdr:col>
      <xdr:colOff>0</xdr:colOff>
      <xdr:row>389</xdr:row>
      <xdr:rowOff>268940</xdr:rowOff>
    </xdr:to>
    <xdr:sp macro="" textlink="">
      <xdr:nvSpPr>
        <xdr:cNvPr id="28" name="Prostokąt 27">
          <a:extLst>
            <a:ext uri="{FF2B5EF4-FFF2-40B4-BE49-F238E27FC236}">
              <a16:creationId xmlns:a16="http://schemas.microsoft.com/office/drawing/2014/main" id="{AA5F614B-EA93-4B11-9209-D548ADECD2D9}"/>
            </a:ext>
          </a:extLst>
        </xdr:cNvPr>
        <xdr:cNvSpPr/>
      </xdr:nvSpPr>
      <xdr:spPr>
        <a:xfrm>
          <a:off x="8667750" y="83765571"/>
          <a:ext cx="5293179" cy="513869"/>
        </a:xfrm>
        <a:prstGeom prst="rect">
          <a:avLst/>
        </a:prstGeom>
        <a:noFill/>
        <a:ln w="12700">
          <a:noFill/>
        </a:ln>
        <a:effectLst>
          <a:outerShdw blurRad="241300" dist="304800" dir="5400000" rotWithShape="0">
            <a:schemeClr val="accent1">
              <a:lumMod val="50000"/>
              <a:alpha val="36000"/>
            </a:schemeClr>
          </a:outerShdw>
        </a:effectLst>
        <a:extLst>
          <a:ext uri="{53640926-AAD7-44D8-BBD7-CCE9431645EC}">
            <a14:shadowObscured xmlns:a14="http://schemas.microsoft.com/office/drawing/2010/main" val="1"/>
          </a:ext>
        </a:extLst>
      </xdr:spPr>
      <xdr:txBody>
        <a:bodyPr vertOverflow="clip" horzOverflow="clip" wrap="square"/>
        <a:lstStyle/>
        <a:p>
          <a:endParaRPr lang="pl-PL" sz="1100"/>
        </a:p>
      </xdr:txBody>
    </xdr:sp>
    <xdr:clientData/>
  </xdr:twoCellAnchor>
  <xdr:twoCellAnchor>
    <xdr:from>
      <xdr:col>9</xdr:col>
      <xdr:colOff>0</xdr:colOff>
      <xdr:row>427</xdr:row>
      <xdr:rowOff>0</xdr:rowOff>
    </xdr:from>
    <xdr:to>
      <xdr:col>14</xdr:col>
      <xdr:colOff>0</xdr:colOff>
      <xdr:row>428</xdr:row>
      <xdr:rowOff>268940</xdr:rowOff>
    </xdr:to>
    <xdr:sp macro="" textlink="">
      <xdr:nvSpPr>
        <xdr:cNvPr id="29" name="Prostokąt 28">
          <a:extLst>
            <a:ext uri="{FF2B5EF4-FFF2-40B4-BE49-F238E27FC236}">
              <a16:creationId xmlns:a16="http://schemas.microsoft.com/office/drawing/2014/main" id="{2A81BC51-83C6-4BA8-8469-B64BF4E6783F}"/>
            </a:ext>
          </a:extLst>
        </xdr:cNvPr>
        <xdr:cNvSpPr/>
      </xdr:nvSpPr>
      <xdr:spPr>
        <a:xfrm>
          <a:off x="8667750" y="92120357"/>
          <a:ext cx="5293179" cy="513869"/>
        </a:xfrm>
        <a:prstGeom prst="rect">
          <a:avLst/>
        </a:prstGeom>
        <a:noFill/>
        <a:ln w="12700">
          <a:noFill/>
        </a:ln>
        <a:effectLst>
          <a:outerShdw blurRad="241300" dist="304800" dir="5400000" rotWithShape="0">
            <a:schemeClr val="accent1">
              <a:lumMod val="50000"/>
              <a:alpha val="36000"/>
            </a:schemeClr>
          </a:outerShdw>
        </a:effectLst>
        <a:extLst>
          <a:ext uri="{53640926-AAD7-44D8-BBD7-CCE9431645EC}">
            <a14:shadowObscured xmlns:a14="http://schemas.microsoft.com/office/drawing/2010/main" val="1"/>
          </a:ext>
        </a:extLst>
      </xdr:spPr>
      <xdr:txBody>
        <a:bodyPr vertOverflow="clip" horzOverflow="clip" wrap="square"/>
        <a:lstStyle/>
        <a:p>
          <a:endParaRPr lang="pl-PL" sz="1100"/>
        </a:p>
      </xdr:txBody>
    </xdr:sp>
    <xdr:clientData/>
  </xdr:twoCellAnchor>
  <xdr:twoCellAnchor>
    <xdr:from>
      <xdr:col>9</xdr:col>
      <xdr:colOff>0</xdr:colOff>
      <xdr:row>466</xdr:row>
      <xdr:rowOff>0</xdr:rowOff>
    </xdr:from>
    <xdr:to>
      <xdr:col>14</xdr:col>
      <xdr:colOff>0</xdr:colOff>
      <xdr:row>467</xdr:row>
      <xdr:rowOff>268941</xdr:rowOff>
    </xdr:to>
    <xdr:sp macro="" textlink="">
      <xdr:nvSpPr>
        <xdr:cNvPr id="30" name="Prostokąt 29">
          <a:extLst>
            <a:ext uri="{FF2B5EF4-FFF2-40B4-BE49-F238E27FC236}">
              <a16:creationId xmlns:a16="http://schemas.microsoft.com/office/drawing/2014/main" id="{C69E6FC8-0B4E-43CB-97B0-4D480E2E35F0}"/>
            </a:ext>
          </a:extLst>
        </xdr:cNvPr>
        <xdr:cNvSpPr/>
      </xdr:nvSpPr>
      <xdr:spPr>
        <a:xfrm>
          <a:off x="8667750" y="100475143"/>
          <a:ext cx="5293179" cy="513869"/>
        </a:xfrm>
        <a:prstGeom prst="rect">
          <a:avLst/>
        </a:prstGeom>
        <a:noFill/>
        <a:ln w="12700">
          <a:noFill/>
        </a:ln>
        <a:effectLst>
          <a:outerShdw blurRad="241300" dist="304800" dir="5400000" rotWithShape="0">
            <a:schemeClr val="accent1">
              <a:lumMod val="50000"/>
              <a:alpha val="36000"/>
            </a:schemeClr>
          </a:outerShdw>
        </a:effectLst>
        <a:extLst>
          <a:ext uri="{53640926-AAD7-44D8-BBD7-CCE9431645EC}">
            <a14:shadowObscured xmlns:a14="http://schemas.microsoft.com/office/drawing/2010/main" val="1"/>
          </a:ext>
        </a:extLst>
      </xdr:spPr>
      <xdr:txBody>
        <a:bodyPr vertOverflow="clip" horzOverflow="clip" wrap="square"/>
        <a:lstStyle/>
        <a:p>
          <a:endParaRPr lang="pl-P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61857</xdr:rowOff>
    </xdr:from>
    <xdr:to>
      <xdr:col>16</xdr:col>
      <xdr:colOff>600636</xdr:colOff>
      <xdr:row>22</xdr:row>
      <xdr:rowOff>26893</xdr:rowOff>
    </xdr:to>
    <xdr:graphicFrame macro="">
      <xdr:nvGraphicFramePr>
        <xdr:cNvPr id="4" name="Wykres 3">
          <a:extLst>
            <a:ext uri="{FF2B5EF4-FFF2-40B4-BE49-F238E27FC236}">
              <a16:creationId xmlns:a16="http://schemas.microsoft.com/office/drawing/2014/main" id="{DD9F75EC-2DE6-43D5-B7B2-8EE75423B9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3" xr:uid="{A025FC68-2065-4627-9265-C7B4DAE58E5E}" name="Miesiac_1" displayName="Miesiac_1" ref="H5:O36" headerRowDxfId="347" dataDxfId="346" totalsRowDxfId="345">
  <autoFilter ref="H5:O36" xr:uid="{35FFE5E3-39D7-4A35-9C9E-17CF2E91BFA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B8F9DB0-9ABB-4BF8-9C8A-829FFE54295E}" name="Dzień" totalsRowLabel="Suma" dataDxfId="344" totalsRowDxfId="343"/>
    <tableColumn id="2" xr3:uid="{6D03456F-079A-4A39-836B-B765CF489764}" name="Załadunek" dataDxfId="342"/>
    <tableColumn id="3" xr3:uid="{630F17B5-2244-4DB6-B6AF-FF9B266D82A0}" name="Rozładunek" dataDxfId="341"/>
    <tableColumn id="4" xr3:uid="{42CD9AF2-E235-4EEF-B2D4-7A765DD43147}" name="Podjazd [km]" dataDxfId="340"/>
    <tableColumn id="5" xr3:uid="{5CFA9F4D-15F7-4E82-AA48-185F01F1B84B}" name="Trasa [km]" dataDxfId="339"/>
    <tableColumn id="6" xr3:uid="{A5240511-4DA2-4F86-AA65-38908F5032F8}" name="Stawka" dataDxfId="338"/>
    <tableColumn id="7" xr3:uid="{77E486C8-CF08-4333-9141-537368818703}" name="Stawka na km" dataDxfId="337">
      <calculatedColumnFormula>IFERROR(Miesiac_1[[#This Row],[Stawka]]/(Miesiac_1[[#This Row],[Trasa '[km']]]+Miesiac_1[[#This Row],[Podjazd '[km']]]),"-")</calculatedColumnFormula>
    </tableColumn>
    <tableColumn id="8" xr3:uid="{CA5F1AC0-6CD8-443C-8892-F73B8C9FA6B0}" name="Inne" totalsRowFunction="count" dataDxfId="336"/>
  </tableColumns>
  <tableStyleInfo name="Kalkulator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886951B7-9B6E-4B23-9071-DBC890602179}" name="Miesiac_165" displayName="Miesiac_165" ref="H278:O309" headerRowDxfId="245" dataDxfId="244" totalsRowDxfId="243">
  <autoFilter ref="H278:O309" xr:uid="{543CB969-9517-48DD-A288-DDB25B1F52A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EC955EF-1408-4EFC-B0EF-1558CD039DF8}" name="Dzień" totalsRowLabel="Suma" dataDxfId="242" totalsRowDxfId="241"/>
    <tableColumn id="2" xr3:uid="{A2477184-3CA3-49A5-88D2-556A8A0C2613}" name="Załadunek" dataDxfId="240"/>
    <tableColumn id="3" xr3:uid="{D0C55E58-F3E1-4862-9ECC-05B0FF821700}" name="Rozładunek" dataDxfId="239"/>
    <tableColumn id="4" xr3:uid="{119CECAA-81BE-4480-9DBF-236ED4FA40B0}" name="Podjazd [km]" dataDxfId="238"/>
    <tableColumn id="5" xr3:uid="{C1983F09-2C14-49F6-97D1-FA245BF5B361}" name="Trasa [km]" dataDxfId="237"/>
    <tableColumn id="6" xr3:uid="{6491E2E3-3488-474B-A96E-240675863B6D}" name="Stawka" dataDxfId="236"/>
    <tableColumn id="7" xr3:uid="{29ED2743-B6DF-483E-9256-E3E78E9E7D96}" name="Stawka na km" dataDxfId="235">
      <calculatedColumnFormula>IFERROR(Miesiac_165[[#This Row],[Stawka]]/(Miesiac_165[[#This Row],[Trasa '[km']]]+Miesiac_165[[#This Row],[Podjazd '[km']]]),"-")</calculatedColumnFormula>
    </tableColumn>
    <tableColumn id="8" xr3:uid="{AB5877C3-6626-4333-8ED1-1A10A242A025}" name="Inne" totalsRowFunction="count" dataDxfId="234"/>
  </tableColumns>
  <tableStyleInfo name="Kalkulator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BA65D4FE-7A62-42DC-87B3-1FE7C92D2810}" name="Miesiac_167" displayName="Miesiac_167" ref="H317:O348" headerRowDxfId="233" dataDxfId="232" totalsRowDxfId="231">
  <autoFilter ref="H317:O348" xr:uid="{83F49C5A-41C5-4792-91C3-4455B733E41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61A0CFC-D73C-4BB4-973D-4684BE02231B}" name="Dzień" totalsRowLabel="Suma" dataDxfId="230" totalsRowDxfId="229"/>
    <tableColumn id="2" xr3:uid="{9D2F33F4-327F-476F-85C6-CA423DF9C926}" name="Załadunek" dataDxfId="228"/>
    <tableColumn id="3" xr3:uid="{3EF2CE8B-902F-4D4E-A644-FCB15C789F93}" name="Rozładunek" dataDxfId="227"/>
    <tableColumn id="4" xr3:uid="{172E9F84-DF7C-4B48-B32D-0F741154E723}" name="Podjazd [km]" dataDxfId="226"/>
    <tableColumn id="5" xr3:uid="{795815D3-BE29-4920-908B-FEF2F095BF83}" name="Trasa [km]" dataDxfId="225"/>
    <tableColumn id="6" xr3:uid="{2CE50909-5CE5-4B53-A8FD-27AF14274468}" name="Stawka" dataDxfId="224"/>
    <tableColumn id="7" xr3:uid="{CD8D85A3-947E-437E-B4B6-1C2ACB8957B7}" name="Stawka na km" dataDxfId="223">
      <calculatedColumnFormula>IFERROR(Miesiac_167[[#This Row],[Stawka]]/(Miesiac_167[[#This Row],[Trasa '[km']]]+Miesiac_167[[#This Row],[Podjazd '[km']]]),"-")</calculatedColumnFormula>
    </tableColumn>
    <tableColumn id="8" xr3:uid="{B2C11F55-6A10-4E3A-A78F-A3F694E60310}" name="Inne" totalsRowFunction="count" dataDxfId="222"/>
  </tableColumns>
  <tableStyleInfo name="Kalkulator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AD46D0C5-5A8C-46AF-A47B-C4D5627F5571}" name="Miesiac_169" displayName="Miesiac_169" ref="H356:O387" headerRowDxfId="221" dataDxfId="220" totalsRowDxfId="219">
  <autoFilter ref="H356:O387" xr:uid="{F43013A3-0188-4D69-9355-60C58722816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D1A596C-F469-4D38-912B-5B2805E1041E}" name="Dzień" totalsRowLabel="Suma" dataDxfId="218" totalsRowDxfId="217"/>
    <tableColumn id="2" xr3:uid="{D23D999C-63AF-49FA-B46C-4A253D471FC4}" name="Załadunek" dataDxfId="216"/>
    <tableColumn id="3" xr3:uid="{EE065AFB-5D6F-4D45-A324-8300DE119C19}" name="Rozładunek" dataDxfId="215"/>
    <tableColumn id="4" xr3:uid="{E356C93A-128F-4C3D-8CDE-AC3FA73E0878}" name="Podjazd [km]" dataDxfId="214"/>
    <tableColumn id="5" xr3:uid="{CE093756-010E-4062-8B56-370D51BFDAB7}" name="Trasa [km]" dataDxfId="213"/>
    <tableColumn id="6" xr3:uid="{6C702E87-D244-48BB-8840-F9BB8E668168}" name="Stawka" dataDxfId="212"/>
    <tableColumn id="7" xr3:uid="{40A1CFD8-68C4-4F03-8246-5F6F60C2E76A}" name="Stawka na km" dataDxfId="211">
      <calculatedColumnFormula>IFERROR(Miesiac_169[[#This Row],[Stawka]]/(Miesiac_169[[#This Row],[Trasa '[km']]]+Miesiac_169[[#This Row],[Podjazd '[km']]]),"-")</calculatedColumnFormula>
    </tableColumn>
    <tableColumn id="8" xr3:uid="{CF092E6F-2231-417A-AF7A-B211B60D2931}" name="Inne" totalsRowFunction="count" dataDxfId="210"/>
  </tableColumns>
  <tableStyleInfo name="Kalkulator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E6D66300-0142-40E7-B733-E80DC4890F99}" name="Miesiac_171" displayName="Miesiac_171" ref="H395:O426" headerRowDxfId="209" dataDxfId="208" totalsRowDxfId="207">
  <autoFilter ref="H395:O426" xr:uid="{B9E9AA8D-03EB-4FE5-A30D-2D200D50E92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06039D6-3F7D-4C6A-AFB0-99F2F22F4286}" name="Dzień" totalsRowLabel="Suma" dataDxfId="206" totalsRowDxfId="205"/>
    <tableColumn id="2" xr3:uid="{979B62D6-C09D-4C53-8773-668C61065F94}" name="Załadunek" dataDxfId="204"/>
    <tableColumn id="3" xr3:uid="{8CEFB6EF-736D-4D46-9358-916302B9888C}" name="Rozładunek" dataDxfId="203"/>
    <tableColumn id="4" xr3:uid="{2BC79B70-BC01-4699-A9E0-EC6319D3F14C}" name="Podjazd [km]" dataDxfId="202"/>
    <tableColumn id="5" xr3:uid="{A250984F-C10F-488B-B4F1-3CE09A434F36}" name="Trasa [km]" dataDxfId="201"/>
    <tableColumn id="6" xr3:uid="{3EE3849C-E524-4FB9-934B-70BB53F2A838}" name="Stawka" dataDxfId="200"/>
    <tableColumn id="7" xr3:uid="{579C397E-042E-4214-9CEA-3826BB8C2A1F}" name="Stawka na km" dataDxfId="199">
      <calculatedColumnFormula>IFERROR(Miesiac_171[[#This Row],[Stawka]]/(Miesiac_171[[#This Row],[Trasa '[km']]]+Miesiac_171[[#This Row],[Podjazd '[km']]]),"-")</calculatedColumnFormula>
    </tableColumn>
    <tableColumn id="8" xr3:uid="{692442D7-A623-478B-8882-6859355DDCAA}" name="Inne" totalsRowFunction="count" dataDxfId="198"/>
  </tableColumns>
  <tableStyleInfo name="Kalkulator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B5CABD1C-5136-42BB-970D-A17CA13434C5}" name="Miesiac_173" displayName="Miesiac_173" ref="H434:O465" headerRowDxfId="197" dataDxfId="196" totalsRowDxfId="195">
  <autoFilter ref="H434:O465" xr:uid="{103E78C0-203A-4EB7-9EA4-E0B1BFE9E57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B1D3BDF-0725-449D-A53A-3C98E2677DC4}" name="Dzień" totalsRowLabel="Suma" dataDxfId="194" totalsRowDxfId="193"/>
    <tableColumn id="2" xr3:uid="{86FAB1CA-2CAA-4AB5-A9EE-3DE339796BA2}" name="Załadunek" dataDxfId="192"/>
    <tableColumn id="3" xr3:uid="{B8A337BC-34A8-441C-AEB0-F6BEA804F99B}" name="Rozładunek" dataDxfId="191"/>
    <tableColumn id="4" xr3:uid="{262BD60D-2B89-471A-8CCF-1F78E31498F9}" name="Podjazd [km]" dataDxfId="190"/>
    <tableColumn id="5" xr3:uid="{AF6D11CE-1C69-4EC8-8B20-8CBC73A6797E}" name="Trasa [km]" dataDxfId="189"/>
    <tableColumn id="6" xr3:uid="{5182A697-E0D3-4B41-8C37-2D164989E13B}" name="Stawka" dataDxfId="188"/>
    <tableColumn id="7" xr3:uid="{B5DA4186-31AE-4BB3-BAF2-758BBF50373B}" name="Stawka na km" dataDxfId="187">
      <calculatedColumnFormula>IFERROR(Miesiac_173[[#This Row],[Stawka]]/(Miesiac_173[[#This Row],[Trasa '[km']]]+Miesiac_173[[#This Row],[Podjazd '[km']]]),"-")</calculatedColumnFormula>
    </tableColumn>
    <tableColumn id="8" xr3:uid="{2B649518-9295-4DFE-AE27-C4B3FFA530C3}" name="Inne" totalsRowFunction="count" dataDxfId="186"/>
  </tableColumns>
  <tableStyleInfo name="Kalkulator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2ED919-D880-4412-B1B4-FAE59C76ACB1}" name="Koszty_2" displayName="Koszty_2" ref="Q44:S70" totalsRowCount="1" headerRowDxfId="185" dataDxfId="184" totalsRowDxfId="183">
  <autoFilter ref="Q44:S69" xr:uid="{E62ED919-D880-4412-B1B4-FAE59C76ACB1}"/>
  <tableColumns count="3">
    <tableColumn id="1" xr3:uid="{8119CF61-F6AC-4CE2-8B40-2F03D9B3E5E4}" name="Koszty" totalsRowLabel="Suma" dataDxfId="182" totalsRowDxfId="181"/>
    <tableColumn id="2" xr3:uid="{A8A3BB2F-B24C-495F-8130-7C18518EF41C}" name="Kwota PLN [netto]" totalsRowFunction="sum" dataDxfId="180" totalsRowDxfId="179"/>
    <tableColumn id="3" xr3:uid="{432D4FF7-2CC5-4505-AE82-D2197AB52007}" name="Kwota € [netto]" totalsRowFunction="sum" dataDxfId="178" totalsRowDxfId="177"/>
  </tableColumns>
  <tableStyleInfo name="Kalkulator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BB6B77B-3FC9-4A67-B3E8-029C8D161B5F}" name="Koszty_3" displayName="Koszty_3" ref="Q83:S109" totalsRowCount="1" headerRowDxfId="176" dataDxfId="175" totalsRowDxfId="174">
  <autoFilter ref="Q83:S108" xr:uid="{4BB6B77B-3FC9-4A67-B3E8-029C8D161B5F}"/>
  <tableColumns count="3">
    <tableColumn id="1" xr3:uid="{0CF11EC0-442D-48C0-9E98-80E0FD559811}" name="Koszty" totalsRowLabel="Suma" dataDxfId="173" totalsRowDxfId="172"/>
    <tableColumn id="2" xr3:uid="{F62607CF-4D8F-496B-B59A-5FB511196398}" name="Kwota PLN [netto]" totalsRowFunction="sum" dataDxfId="171" totalsRowDxfId="170"/>
    <tableColumn id="3" xr3:uid="{619458F5-01DF-48CE-B3C1-4075C29B362A}" name="Kwota € [netto]" totalsRowFunction="sum" dataDxfId="169" totalsRowDxfId="168"/>
  </tableColumns>
  <tableStyleInfo name="Kalkulator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2922D25-EE5A-4BE9-A69C-101382E292BC}" name="Koszty_4" displayName="Koszty_4" ref="Q122:S148" totalsRowCount="1" headerRowDxfId="167" dataDxfId="166" totalsRowDxfId="165">
  <autoFilter ref="Q122:S147" xr:uid="{F2922D25-EE5A-4BE9-A69C-101382E292BC}"/>
  <tableColumns count="3">
    <tableColumn id="1" xr3:uid="{743449F3-A4ED-4F70-91D4-688B3E6996C7}" name="Koszty" totalsRowLabel="Suma" dataDxfId="164" totalsRowDxfId="163"/>
    <tableColumn id="2" xr3:uid="{DA77C8DA-E2CF-4130-B318-67FFB9F82F40}" name="Kwota PLN [netto]" totalsRowFunction="sum" dataDxfId="162" totalsRowDxfId="161"/>
    <tableColumn id="3" xr3:uid="{683A5B15-787D-4E9C-8371-D1320BA4B886}" name="Kwota € [netto]" totalsRowFunction="sum" dataDxfId="160" totalsRowDxfId="159"/>
  </tableColumns>
  <tableStyleInfo name="Kalkulator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47E827-6425-4FD8-A471-B7C7327DA7B0}" name="Koszty_5" displayName="Koszty_5" ref="Q161:S187" totalsRowCount="1" headerRowDxfId="158" dataDxfId="157" totalsRowDxfId="156">
  <autoFilter ref="Q161:S186" xr:uid="{FD47E827-6425-4FD8-A471-B7C7327DA7B0}"/>
  <tableColumns count="3">
    <tableColumn id="1" xr3:uid="{5A798A40-0EF9-411B-BE7F-C634100634DF}" name="Koszty" totalsRowLabel="Suma" dataDxfId="155" totalsRowDxfId="154"/>
    <tableColumn id="2" xr3:uid="{D5EE0A99-9966-4C1B-A9CB-547D5DF18B90}" name="Kwota PLN [netto]" totalsRowFunction="sum" dataDxfId="153" totalsRowDxfId="152"/>
    <tableColumn id="3" xr3:uid="{8F0C2CF9-D2AA-428F-AD2E-B2D370C22FFE}" name="Kwota € [netto]" totalsRowFunction="sum" dataDxfId="151" totalsRowDxfId="150"/>
  </tableColumns>
  <tableStyleInfo name="Kalkulator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B119610-C397-436D-83EA-76C0F5300A37}" name="Koszty_6" displayName="Koszty_6" ref="Q200:S226" totalsRowCount="1" headerRowDxfId="149" dataDxfId="148" totalsRowDxfId="147">
  <autoFilter ref="Q200:S225" xr:uid="{9B119610-C397-436D-83EA-76C0F5300A37}"/>
  <tableColumns count="3">
    <tableColumn id="1" xr3:uid="{EF20B9C9-E715-49A0-80EA-1C0034A4F0F8}" name="Koszty" totalsRowLabel="Suma" dataDxfId="146" totalsRowDxfId="145"/>
    <tableColumn id="2" xr3:uid="{D1AA6F6D-8DC5-49EB-9ADA-552AA741CA57}" name="Kwota PLN [netto]" totalsRowFunction="sum" dataDxfId="144" totalsRowDxfId="143"/>
    <tableColumn id="3" xr3:uid="{856C2361-0E38-4638-933A-169D2D6499AF}" name="Kwota € [netto]" totalsRowFunction="sum" dataDxfId="142" totalsRowDxfId="141"/>
  </tableColumns>
  <tableStyleInfo name="Kalkulator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4" xr:uid="{A257053B-E810-4CF0-AF68-9ADC90DC2EA8}" name="Tabela_glowna" displayName="Tabela_glowna" ref="A5:E17" headerRowDxfId="335" dataDxfId="334" totalsRowDxfId="332" tableBorderDxfId="333">
  <autoFilter ref="A5:E17" xr:uid="{42A3D86C-1906-447C-9164-E4C60A4C6B6C}">
    <filterColumn colId="0" hiddenButton="1"/>
    <filterColumn colId="1" hiddenButton="1"/>
    <filterColumn colId="2" hiddenButton="1"/>
    <filterColumn colId="3" hiddenButton="1"/>
    <filterColumn colId="4" hiddenButton="1"/>
  </autoFilter>
  <tableColumns count="5">
    <tableColumn id="1" xr3:uid="{981D2C14-A582-4ECC-94AE-9FF48C013185}" name="Miesiąc" totalsRowLabel="Suma" dataDxfId="331"/>
    <tableColumn id="2" xr3:uid="{8186F654-3185-4362-A317-D11C350F2746}" name="Plan" dataDxfId="330"/>
    <tableColumn id="4" xr3:uid="{2B39B591-BACB-4768-AC6D-2DB14A5572D6}" name="Wartość ze zleceń" dataDxfId="329"/>
    <tableColumn id="5" xr3:uid="{93734F65-05B2-457F-A410-B2550F9436A0}" name="Relizacja" dataDxfId="328" dataCellStyle="Procentowy"/>
    <tableColumn id="3" xr3:uid="{5B3398A2-2F6F-4764-93A7-24AACCD0CA3C}" name="Wszystkie Koszty [netto]" totalsRowFunction="sum" dataDxfId="327">
      <calculatedColumnFormula>IFERROR(IF($B$3="EUR(€)",Koszty_1[[#Totals],[Kwota PLN '[netto']]]+(Koszty_1[[#Totals],[Kwota € '[netto']]]*VLOOKUP(A6,Wyniki!$D$5:$E$16,2,FALSE)),Koszty_1[[#Totals],[Kwota PLN '[netto']]]),0)</calculatedColumnFormula>
    </tableColumn>
  </tableColumns>
  <tableStyleInfo name="Kalkulator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ADB589C-C69B-4501-886B-13410E59BF11}" name="Koszty_7" displayName="Koszty_7" ref="Q239:S265" totalsRowCount="1" headerRowDxfId="140" dataDxfId="139" totalsRowDxfId="138">
  <autoFilter ref="Q239:S264" xr:uid="{AADB589C-C69B-4501-886B-13410E59BF11}"/>
  <tableColumns count="3">
    <tableColumn id="1" xr3:uid="{D519D5D2-3BCA-4024-A675-E5EEE3AB6855}" name="Koszty" totalsRowLabel="Suma" dataDxfId="137" totalsRowDxfId="136"/>
    <tableColumn id="2" xr3:uid="{CF5A5D46-F66B-4DCD-83AA-111495E56959}" name="Kwota PLN [netto]" totalsRowFunction="sum" dataDxfId="135" totalsRowDxfId="134"/>
    <tableColumn id="3" xr3:uid="{3468B551-30F1-4D2C-ADEA-16712D504960}" name="Kwota € [netto]" totalsRowFunction="sum" dataDxfId="133" totalsRowDxfId="132"/>
  </tableColumns>
  <tableStyleInfo name="Kalkulator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871AA6-A5C6-400D-8F1C-5AC311313072}" name="Koszty_8" displayName="Koszty_8" ref="Q278:S304" totalsRowCount="1" headerRowDxfId="131" dataDxfId="130" totalsRowDxfId="129">
  <autoFilter ref="Q278:S303" xr:uid="{70871AA6-A5C6-400D-8F1C-5AC311313072}"/>
  <tableColumns count="3">
    <tableColumn id="1" xr3:uid="{02D01CE8-FE20-473C-88F2-E99DD7BA6972}" name="Koszty" totalsRowLabel="Suma" dataDxfId="128" totalsRowDxfId="127"/>
    <tableColumn id="2" xr3:uid="{E1FF00B0-1CC2-4139-98DC-E7F4BDAA71BC}" name="Kwota PLN [netto]" totalsRowFunction="sum" dataDxfId="126" totalsRowDxfId="125"/>
    <tableColumn id="3" xr3:uid="{EF4D025D-85AD-4E90-AAAD-47E6F629B63C}" name="Kwota € [netto]" totalsRowFunction="sum" dataDxfId="124" totalsRowDxfId="123"/>
  </tableColumns>
  <tableStyleInfo name="Kalkulator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2C9AF15-8E41-423F-A0DA-AFD3EAA9DCDA}" name="Koszty_9" displayName="Koszty_9" ref="Q317:S343" totalsRowCount="1" headerRowDxfId="122" dataDxfId="121" totalsRowDxfId="120">
  <autoFilter ref="Q317:S342" xr:uid="{12C9AF15-8E41-423F-A0DA-AFD3EAA9DCDA}"/>
  <tableColumns count="3">
    <tableColumn id="1" xr3:uid="{16144D8F-BF1E-4B06-95FB-1217AD508D1E}" name="Koszty" totalsRowLabel="Suma" dataDxfId="119" totalsRowDxfId="118"/>
    <tableColumn id="2" xr3:uid="{C2D89B12-742A-46B3-8975-5F15844D4B09}" name="Kwota PLN [netto]" totalsRowFunction="sum" dataDxfId="117" totalsRowDxfId="116"/>
    <tableColumn id="3" xr3:uid="{29133642-23F5-4E55-ACA4-178753C47C4F}" name="Kwota € [netto]" totalsRowFunction="sum" dataDxfId="115" totalsRowDxfId="114"/>
  </tableColumns>
  <tableStyleInfo name="Kalkulator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0FDA296-8A81-4A07-80D4-B9CDE7E08887}" name="Koszty_10" displayName="Koszty_10" ref="Q356:S382" totalsRowCount="1" headerRowDxfId="113" dataDxfId="112" totalsRowDxfId="111">
  <autoFilter ref="Q356:S381" xr:uid="{B0FDA296-8A81-4A07-80D4-B9CDE7E08887}"/>
  <tableColumns count="3">
    <tableColumn id="1" xr3:uid="{9F1A31D5-93F0-42C0-8221-53EABBD652ED}" name="Koszty" totalsRowLabel="Suma" dataDxfId="110" totalsRowDxfId="109"/>
    <tableColumn id="2" xr3:uid="{FD74E383-E1E1-4E3F-A312-CA41353E9102}" name="Kwota PLN [netto]" totalsRowFunction="sum" dataDxfId="108" totalsRowDxfId="107"/>
    <tableColumn id="3" xr3:uid="{C06160B6-D6DD-47AE-B177-102AE620F91D}" name="Kwota € [netto]" totalsRowFunction="sum" dataDxfId="106" totalsRowDxfId="105"/>
  </tableColumns>
  <tableStyleInfo name="Kalkulator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607D1E3-3146-4A09-83C3-16AE96DFE189}" name="Koszty_11" displayName="Koszty_11" ref="Q395:S421" totalsRowCount="1" headerRowDxfId="104" dataDxfId="103" totalsRowDxfId="102">
  <autoFilter ref="Q395:S420" xr:uid="{3607D1E3-3146-4A09-83C3-16AE96DFE189}"/>
  <tableColumns count="3">
    <tableColumn id="1" xr3:uid="{648A2C1C-9C1A-42E5-B383-9DB0C1A0E464}" name="Koszty" totalsRowLabel="Suma" dataDxfId="101" totalsRowDxfId="100"/>
    <tableColumn id="2" xr3:uid="{D454938E-9EC0-4CE1-9395-2BAFE0C134DC}" name="Kwota PLN [netto]" totalsRowFunction="sum" dataDxfId="99" totalsRowDxfId="98"/>
    <tableColumn id="3" xr3:uid="{AF8030CE-EBF5-4AA3-BDB6-369676386606}" name="Kwota € [netto]" totalsRowFunction="sum" dataDxfId="97" totalsRowDxfId="96"/>
  </tableColumns>
  <tableStyleInfo name="Kalkulator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BAF33B4-6BFE-4B7F-93A5-F7F1076E4CCA}" name="Koszty_12" displayName="Koszty_12" ref="Q434:S460" totalsRowCount="1" headerRowDxfId="95" dataDxfId="94" totalsRowDxfId="93">
  <autoFilter ref="Q434:S459" xr:uid="{6BAF33B4-6BFE-4B7F-93A5-F7F1076E4CCA}"/>
  <tableColumns count="3">
    <tableColumn id="1" xr3:uid="{2A4E4342-B4C2-4B5F-A35E-BB5818DA5162}" name="Koszty" totalsRowLabel="Suma" dataDxfId="92" totalsRowDxfId="91"/>
    <tableColumn id="2" xr3:uid="{4D2CE85C-F338-4E5D-810D-09719A3BF996}" name="Kwota PLN [netto]" totalsRowFunction="sum" dataDxfId="90" totalsRowDxfId="89"/>
    <tableColumn id="3" xr3:uid="{A1894F22-9A58-441E-B97D-E1051B85F0C8}" name="Kwota € [netto]" totalsRowFunction="sum" dataDxfId="88" totalsRowDxfId="87"/>
  </tableColumns>
  <tableStyleInfo name="Kalkulator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8D38FC6-648F-4A51-988F-6E23CA15B266}" name="Tabela7" displayName="Tabela7" ref="C4:AA38" totalsRowShown="0" headerRowDxfId="86" dataDxfId="85">
  <autoFilter ref="C4:AA38" xr:uid="{E4DA288A-AC54-4BEE-BC52-A71BA836774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C585A246-B6CE-4ADE-B7D7-3264AFD9F223}" name="RODZAJ" dataDxfId="84"/>
    <tableColumn id="2" xr3:uid="{AD5E13AA-4795-4F5E-8087-8E1C8CDA821D}" name="Miesiąc 1" dataDxfId="83"/>
    <tableColumn id="3" xr3:uid="{B416DB42-C3C2-44F4-869C-70C619E422D6}" name="Kolumna1" dataDxfId="82"/>
    <tableColumn id="4" xr3:uid="{BD150D43-89A8-43D0-9AEB-28E701D73E9B}" name="Miesiąc 2" dataDxfId="81"/>
    <tableColumn id="5" xr3:uid="{CD7491C0-B274-451A-A433-2E3087674848}" name=" 2" dataDxfId="80"/>
    <tableColumn id="6" xr3:uid="{C71036AC-A7A9-46D5-8EC1-AE0B42490A69}" name="Miesiąc 3" dataDxfId="79"/>
    <tableColumn id="7" xr3:uid="{5B1B09A7-FBC2-4678-A798-BC610C27F80F}" name=" 3" dataDxfId="78"/>
    <tableColumn id="8" xr3:uid="{26D72AFE-4455-4F51-8645-640620D115BE}" name="Miesiąc 4" dataDxfId="77"/>
    <tableColumn id="9" xr3:uid="{F3C287AB-E80C-4ED2-BBF5-4BCAAC4A3AE3}" name="Kolumna4" dataDxfId="76"/>
    <tableColumn id="10" xr3:uid="{3D23C20E-F928-4F82-B2C4-102B1348F731}" name="Maj" dataDxfId="75"/>
    <tableColumn id="11" xr3:uid="{5FBCEEFA-4EF5-4997-994A-99A73FF06616}" name="Kolumna5" dataDxfId="74"/>
    <tableColumn id="12" xr3:uid="{1CFD908B-50FF-409B-9AD0-B21D71D5F565}" name="Czerwiec" dataDxfId="73"/>
    <tableColumn id="13" xr3:uid="{6849DF80-78AD-4093-8182-0D3AF8FB8F2C}" name="Kolumna6" dataDxfId="72"/>
    <tableColumn id="14" xr3:uid="{F4BFAA15-D6DA-434D-B5E9-0C0C47740351}" name="Lipiec" dataDxfId="71"/>
    <tableColumn id="15" xr3:uid="{9F0C2FB5-339A-4649-9E11-886D25272857}" name="Kolumna7" dataDxfId="70"/>
    <tableColumn id="16" xr3:uid="{7DDCA8F7-3802-46F3-9CED-775427183FC0}" name="Sierpień" dataDxfId="69"/>
    <tableColumn id="17" xr3:uid="{9272D5BB-6BD4-4C16-A3B8-4A83C1B2D1F8}" name="Kolumna8" dataDxfId="68"/>
    <tableColumn id="18" xr3:uid="{C153EF94-9369-4ADA-B625-CE2EEEA2F2C3}" name="Wrzesień" dataDxfId="67"/>
    <tableColumn id="19" xr3:uid="{C3B6131D-B709-4733-8252-4A44D20DD0EA}" name="Kolumna9" dataDxfId="66"/>
    <tableColumn id="20" xr3:uid="{E25A1FCD-4342-4D63-9AFD-8F2D669B4FF4}" name="Październik" dataDxfId="65"/>
    <tableColumn id="21" xr3:uid="{A2C2A75E-4DAE-49E5-B735-22672BCB4514}" name="Kolumna10" dataDxfId="64"/>
    <tableColumn id="22" xr3:uid="{94EE7D0D-6D57-4AE8-9056-1A8DB7208591}" name="Listopad" dataDxfId="63"/>
    <tableColumn id="23" xr3:uid="{EF253980-BF62-4ADC-878A-8F41B27E412D}" name="Kolumna11" dataDxfId="62"/>
    <tableColumn id="24" xr3:uid="{C0322C93-4BEB-44C4-ABD4-C7EC60C6F42F}" name="Grudzień" dataDxfId="61"/>
    <tableColumn id="25" xr3:uid="{4826AFE7-C88A-41BF-8278-8714A3ADEFAA}" name="Kolumna12" dataDxfId="60"/>
  </tableColumns>
  <tableStyleInfo name="Kalkulator2"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B33CC92A-6F03-4CA5-A017-342CD7E64F63}" name="Tabela180" displayName="Tabela180" ref="B4:K17" totalsRowCount="1" headerRowDxfId="59" dataDxfId="58" totalsRowDxfId="57">
  <autoFilter ref="B4:K16" xr:uid="{75B7D517-9962-4FBC-AFE4-60FDF460A3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20BC091C-0C8A-49DC-B817-36B47F0534A6}" name="Miesiąc" totalsRowLabel="Suma" dataDxfId="56" totalsRowDxfId="47"/>
    <tableColumn id="6" xr3:uid="{1A19883D-49C2-4F10-99F2-2F89043B5026}" name="Kolumna1" dataDxfId="55" totalsRowDxfId="46"/>
    <tableColumn id="7" xr3:uid="{158343F3-6C0F-4387-B604-5703FF4491BF}" name="Kolumna2" dataDxfId="54" totalsRowDxfId="45">
      <calculatedColumnFormula>Tabela180[[#This Row],[Miesiąc]]&amp;" "&amp;Tabela180[[#This Row],[Kolumna1]]</calculatedColumnFormula>
    </tableColumn>
    <tableColumn id="2" xr3:uid="{6278E79F-A35C-4F01-AA80-F85C73B4BC68}" name="Średni kurs [€/PLN]" dataDxfId="53" totalsRowDxfId="44"/>
    <tableColumn id="3" xr3:uid="{2B0D0F09-5387-40C9-BB30-F202CA6921BA}" name="0" totalsRowFunction="sum" dataDxfId="38" totalsRowDxfId="37">
      <calculatedColumnFormula>IFERROR(IF(Auto_1!$B$2="EUR(€)",VLOOKUP(D5,Auto_1!$A$6:$C$17,3,FALSE)*VLOOKUP(D5,$D$5:$E$16,2,FALSE)-VLOOKUP(D5,Auto_1!$A$6:$E$17,5,FALSE),VLOOKUP(D5,Auto_1!$A$6:$C$17,3,FALSE)-VLOOKUP(D5,Auto_1!$A$6:$E$17,5,FALSE)),0)</calculatedColumnFormula>
    </tableColumn>
    <tableColumn id="10" xr3:uid="{F6A06579-B2D0-4277-9EA9-759A796D75EE}" name="Koszty Firmy" totalsRowFunction="sum" dataDxfId="52" totalsRowDxfId="43">
      <calculatedColumnFormula>('Koszty Firmy'!D$38*Tabela180[[#This Row],[Średni kurs '[€/PLN']]])+'Koszty Firmy'!E$38</calculatedColumnFormula>
    </tableColumn>
    <tableColumn id="11" xr3:uid="{71C0AADD-25E6-4E68-846B-BB719CBD20AB}" name="ZWROT VAT" totalsRowFunction="sum" dataDxfId="51" totalsRowDxfId="42" dataCellStyle="Procentowy"/>
    <tableColumn id="12" xr3:uid="{3EC7AD70-C8B7-4CAB-8E73-6B0F48218A24}" name="Zysk" totalsRowFunction="sum" dataDxfId="50" totalsRowDxfId="41">
      <calculatedColumnFormula>F5-Tabela180[[#This Row],[Koszty Firmy]]+(Tabela180[[#This Row],[ZWROT VAT]]*Tabela180[[#This Row],[Średni kurs '[€/PLN']]])</calculatedColumnFormula>
    </tableColumn>
    <tableColumn id="13" xr3:uid="{A80B7181-2ABE-4EF1-9192-737E7ADC716B}" name="Podatek" totalsRowFunction="sum" dataDxfId="49" totalsRowDxfId="40">
      <calculatedColumnFormula>IF(I5&lt;0,0,I5*$B$1)</calculatedColumnFormula>
    </tableColumn>
    <tableColumn id="14" xr3:uid="{BEAE3310-66F1-4418-BCBC-3786BAEDB8B0}" name="Zysk netto" totalsRowFunction="sum" dataDxfId="48" totalsRowDxfId="39">
      <calculatedColumnFormula>Tabela180[[#This Row],[Zysk]]-Tabela180[[#This Row],[Podatek]]</calculatedColumnFormula>
    </tableColumn>
  </tableColumns>
  <tableStyleInfo name="Kalkulator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7" xr:uid="{BEBC3B84-4C13-49B2-99D0-BED311B91515}" name="Koszty_1" displayName="Koszty_1" ref="Q5:S31" totalsRowCount="1" headerRowDxfId="326" dataDxfId="325" totalsRowDxfId="324">
  <autoFilter ref="Q5:S30" xr:uid="{EC9B0588-96C9-458D-A1B9-E1B43E0337E4}">
    <filterColumn colId="0" hiddenButton="1"/>
    <filterColumn colId="1" hiddenButton="1"/>
    <filterColumn colId="2" hiddenButton="1"/>
  </autoFilter>
  <tableColumns count="3">
    <tableColumn id="1" xr3:uid="{5FB8F0F3-9B50-40EA-AE1F-5F73F6E23380}" name="Koszty" totalsRowLabel="Suma" dataDxfId="323" totalsRowDxfId="322"/>
    <tableColumn id="2" xr3:uid="{ADCECCCB-FB2D-49D0-8A11-94653A70044A}" name="Kwota PLN [netto]" totalsRowFunction="sum" dataDxfId="321" totalsRowDxfId="320"/>
    <tableColumn id="3" xr3:uid="{E0170A82-AF87-43DE-B530-F08906E2BDAE}" name="Kwota € [netto]" totalsRowFunction="sum" dataDxfId="319" totalsRowDxfId="318"/>
  </tableColumns>
  <tableStyleInfo name="Kalkulator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E5518EF9-1915-4CD1-AF78-BA0D29BFB2E8}" name="Miesiac_153" displayName="Miesiac_153" ref="H44:O75" headerRowDxfId="317" dataDxfId="316" totalsRowDxfId="315">
  <autoFilter ref="H44:O75" xr:uid="{45595DE9-5A68-4B3D-8360-79BB8905EB4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F8AF6E8-0A1F-408B-8D90-CF9AB9DBAE4C}" name="Dzień" totalsRowLabel="Suma" dataDxfId="314" totalsRowDxfId="313"/>
    <tableColumn id="2" xr3:uid="{8A079CC0-5A7E-4556-8640-FEAE71D30FD0}" name="Załadunek" dataDxfId="312"/>
    <tableColumn id="3" xr3:uid="{4492ED56-184B-4884-AAF4-C7B8FA712FDC}" name="Rozładunek" dataDxfId="311"/>
    <tableColumn id="4" xr3:uid="{8803A4D4-A38D-4D97-A996-94828A36BF6B}" name="Podjazd [km]" dataDxfId="310"/>
    <tableColumn id="5" xr3:uid="{B28290CA-AE98-4636-A9BB-84C1D86CDCD2}" name="Trasa [km]" dataDxfId="309"/>
    <tableColumn id="6" xr3:uid="{E2E07E66-3F28-4915-B833-AD76A339087A}" name="Stawka" dataDxfId="308"/>
    <tableColumn id="7" xr3:uid="{5A2ACB2C-9BE6-4B36-8228-D57D89D86303}" name="Stawka na km" dataDxfId="307">
      <calculatedColumnFormula>IFERROR(Miesiac_153[[#This Row],[Stawka]]/(Miesiac_153[[#This Row],[Trasa '[km']]]+Miesiac_153[[#This Row],[Podjazd '[km']]]),"-")</calculatedColumnFormula>
    </tableColumn>
    <tableColumn id="8" xr3:uid="{A4A8D0EF-945D-47CF-AE74-A2881962FED6}" name="Inne" totalsRowFunction="count" dataDxfId="306"/>
  </tableColumns>
  <tableStyleInfo name="Kalkulator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9C9DE2A6-36BA-482B-828A-E04835317859}" name="Miesiac_155" displayName="Miesiac_155" ref="H83:O114" headerRowDxfId="305" dataDxfId="304" totalsRowDxfId="303">
  <autoFilter ref="H83:O114" xr:uid="{C7B74CC5-5F36-483E-8514-EF23C608DAC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6B0BD69-7092-4B6A-9A90-7005BC0A561F}" name="Dzień" totalsRowLabel="Suma" dataDxfId="302" totalsRowDxfId="301"/>
    <tableColumn id="2" xr3:uid="{AABD0E77-7FF9-4A1B-93B2-15F6297A1CA6}" name="Załadunek" dataDxfId="300"/>
    <tableColumn id="3" xr3:uid="{84868059-516E-4F09-A4BD-260A28C305FA}" name="Rozładunek" dataDxfId="299"/>
    <tableColumn id="4" xr3:uid="{D7F9292F-772D-48F7-A040-FB1CDD44B052}" name="Podjazd [km]" dataDxfId="298"/>
    <tableColumn id="5" xr3:uid="{DBF300AA-AD0F-472B-8417-26E7B2E35100}" name="Trasa [km]" dataDxfId="297"/>
    <tableColumn id="6" xr3:uid="{2C13BE53-46EA-4027-8DDC-8ABB9DFFA6DF}" name="Stawka" dataDxfId="296"/>
    <tableColumn id="7" xr3:uid="{3EF588F0-90AE-44D4-A612-D02AF8F10E23}" name="Stawka na km" dataDxfId="295">
      <calculatedColumnFormula>IFERROR(Miesiac_155[[#This Row],[Stawka]]/(Miesiac_155[[#This Row],[Trasa '[km']]]+Miesiac_155[[#This Row],[Podjazd '[km']]]),"-")</calculatedColumnFormula>
    </tableColumn>
    <tableColumn id="8" xr3:uid="{B41D8079-DB69-43A0-B234-7FD2F6DC6E6F}" name="Inne" totalsRowFunction="count" dataDxfId="294"/>
  </tableColumns>
  <tableStyleInfo name="Kalkulator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FD6D92F9-026F-41EE-8535-977E325E5CD1}" name="Miesiac_157" displayName="Miesiac_157" ref="H122:O153" headerRowDxfId="293" dataDxfId="292" totalsRowDxfId="291">
  <autoFilter ref="H122:O153" xr:uid="{452A9793-1F92-4435-B3BD-15C0C56DA36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FB9BC62-ADDC-4CE2-901A-6594C9CE571D}" name="Dzień" totalsRowLabel="Suma" dataDxfId="290" totalsRowDxfId="289"/>
    <tableColumn id="2" xr3:uid="{8BD5B35B-4BDD-4B93-AA9A-00784FDDE704}" name="Załadunek" dataDxfId="288"/>
    <tableColumn id="3" xr3:uid="{C36E35DE-CB89-4A29-9359-7F2F4F0D5B42}" name="Rozładunek" dataDxfId="287"/>
    <tableColumn id="4" xr3:uid="{42680F80-7C38-4183-87E3-4C0F0AA4F347}" name="Podjazd [km]" dataDxfId="286"/>
    <tableColumn id="5" xr3:uid="{C0DB83AF-BF3B-48DD-AF8D-69B09BF67036}" name="Trasa [km]" dataDxfId="285"/>
    <tableColumn id="6" xr3:uid="{38137C24-5C54-4A70-9A20-90926AF2C7F0}" name="Stawka" dataDxfId="284"/>
    <tableColumn id="7" xr3:uid="{0C7A9002-3882-4199-84DA-AE5D6BC5F296}" name="Stawka na km" dataDxfId="283">
      <calculatedColumnFormula>IFERROR(Miesiac_157[[#This Row],[Stawka]]/(Miesiac_157[[#This Row],[Trasa '[km']]]+Miesiac_157[[#This Row],[Podjazd '[km']]]),"-")</calculatedColumnFormula>
    </tableColumn>
    <tableColumn id="8" xr3:uid="{FFB1636D-0AD0-4E83-9223-A7762D44C666}" name="Inne" totalsRowFunction="count" dataDxfId="282"/>
  </tableColumns>
  <tableStyleInfo name="Kalkulator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ED61FE8F-4CF2-41E2-B5F6-9BEEA583D173}" name="Miesiac_159" displayName="Miesiac_159" ref="H161:O192" headerRowDxfId="281" dataDxfId="280" totalsRowDxfId="279">
  <autoFilter ref="H161:O192" xr:uid="{B9B94050-1721-47F7-9708-DC6ABDAE942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01A7353-57AF-441A-895A-279AA116B746}" name="Dzień" totalsRowLabel="Suma" dataDxfId="278" totalsRowDxfId="277"/>
    <tableColumn id="2" xr3:uid="{336C60E2-30C3-49DF-A72E-FD623F7D84D4}" name="Załadunek" dataDxfId="276"/>
    <tableColumn id="3" xr3:uid="{5488141A-B3A9-475E-8434-3CBA60FEA53F}" name="Rozładunek" dataDxfId="275"/>
    <tableColumn id="4" xr3:uid="{EBA7DF5B-C3E5-4362-A79C-BF27DB0A534E}" name="Podjazd [km]" dataDxfId="274"/>
    <tableColumn id="5" xr3:uid="{A2FDEF1B-2C85-42A3-B3C9-7B5CF9A84760}" name="Trasa [km]" dataDxfId="273"/>
    <tableColumn id="6" xr3:uid="{BAA77C7F-07C4-4309-A2D9-B43AE975881F}" name="Stawka" dataDxfId="272"/>
    <tableColumn id="7" xr3:uid="{891CAAA6-91FE-4A09-9985-83EA508F8D23}" name="Stawka na km" dataDxfId="271">
      <calculatedColumnFormula>IFERROR(Miesiac_159[[#This Row],[Stawka]]/(Miesiac_159[[#This Row],[Trasa '[km']]]+Miesiac_159[[#This Row],[Podjazd '[km']]]),"-")</calculatedColumnFormula>
    </tableColumn>
    <tableColumn id="8" xr3:uid="{CF174F86-ED78-4330-A93A-BFDBF248AA86}" name="Inne" totalsRowFunction="count" dataDxfId="270"/>
  </tableColumns>
  <tableStyleInfo name="Kalkulator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30F606DD-A4C4-4962-BB4D-011AFF53D7EF}" name="Miesiac_161" displayName="Miesiac_161" ref="H200:O231" headerRowDxfId="269" dataDxfId="268" totalsRowDxfId="267">
  <autoFilter ref="H200:O231" xr:uid="{077122C2-7821-4397-BB1C-8B19AFD9038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7C1E3CA-0944-4100-971B-9367293752A9}" name="Dzień" totalsRowLabel="Suma" dataDxfId="266" totalsRowDxfId="265"/>
    <tableColumn id="2" xr3:uid="{EF678A8E-C141-4627-AB59-44560CE2279F}" name="Załadunek" dataDxfId="264"/>
    <tableColumn id="3" xr3:uid="{2B8AB960-1029-4E3F-9BF8-5E4FE0751AB3}" name="Rozładunek" dataDxfId="263"/>
    <tableColumn id="4" xr3:uid="{3D14925B-BF16-42CD-A9A5-8C9190640BA7}" name="Podjazd [km]" dataDxfId="262"/>
    <tableColumn id="5" xr3:uid="{8DF745DD-2405-425F-8885-5BA4806B0162}" name="Trasa [km]" dataDxfId="261"/>
    <tableColumn id="6" xr3:uid="{B297C92D-2E11-4AFB-8DDB-8965F7C8F70A}" name="Stawka" dataDxfId="260"/>
    <tableColumn id="7" xr3:uid="{86858194-6668-4C81-9538-047D1F36002E}" name="Stawka na km" dataDxfId="259">
      <calculatedColumnFormula>IFERROR(Miesiac_161[[#This Row],[Stawka]]/(Miesiac_161[[#This Row],[Trasa '[km']]]+Miesiac_161[[#This Row],[Podjazd '[km']]]),"-")</calculatedColumnFormula>
    </tableColumn>
    <tableColumn id="8" xr3:uid="{7B9126DA-1A52-4D6F-AC08-076A8551DA92}" name="Inne" totalsRowFunction="count" dataDxfId="258"/>
  </tableColumns>
  <tableStyleInfo name="Kalkulator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40728431-5B2C-4720-B7FE-00ED6D3C4B1C}" name="Miesiac_163" displayName="Miesiac_163" ref="H239:O270" headerRowDxfId="257" dataDxfId="256" totalsRowDxfId="255">
  <autoFilter ref="H239:O270" xr:uid="{888D5A47-C853-4C1E-929B-E6D3DED4B60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A35D9A6-63FB-4FE1-BC54-CF943099921C}" name="Dzień" totalsRowLabel="Suma" dataDxfId="254" totalsRowDxfId="253"/>
    <tableColumn id="2" xr3:uid="{47D3D778-0990-4DF9-9091-29CAB5097177}" name="Załadunek" dataDxfId="252"/>
    <tableColumn id="3" xr3:uid="{4D69FB05-A2E3-4880-BCEE-2398E4E19E70}" name="Rozładunek" dataDxfId="251"/>
    <tableColumn id="4" xr3:uid="{22106B1F-5B2A-4A39-B2BD-02CCB8FB4177}" name="Podjazd [km]" dataDxfId="250"/>
    <tableColumn id="5" xr3:uid="{F035C951-2806-48C4-8641-F0AF0578CB8C}" name="Trasa [km]" dataDxfId="249"/>
    <tableColumn id="6" xr3:uid="{7F32C8AE-F2DD-4359-B1CE-0F03DD8257B0}" name="Stawka" dataDxfId="248"/>
    <tableColumn id="7" xr3:uid="{E21AFEC1-8B3B-464D-8FE1-EFF0AEDC944D}" name="Stawka na km" dataDxfId="247">
      <calculatedColumnFormula>IFERROR(Miesiac_163[[#This Row],[Stawka]]/(Miesiac_163[[#This Row],[Trasa '[km']]]+Miesiac_163[[#This Row],[Podjazd '[km']]]),"-")</calculatedColumnFormula>
    </tableColumn>
    <tableColumn id="8" xr3:uid="{0C19AFC4-FD67-48AD-A3AF-FC83CC49141D}" name="Inne" totalsRowFunction="count" dataDxfId="246"/>
  </tableColumns>
  <tableStyleInfo name="Kalkulator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o@kalkulatorprzewoznika.pl" TargetMode="External"/><Relationship Id="rId2" Type="http://schemas.openxmlformats.org/officeDocument/2006/relationships/hyperlink" Target="http://www.kalkulatorprzewoznika.pl/" TargetMode="External"/><Relationship Id="rId1" Type="http://schemas.openxmlformats.org/officeDocument/2006/relationships/hyperlink" Target="http://www.kalkulatorprzewoznika.p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26" Type="http://schemas.openxmlformats.org/officeDocument/2006/relationships/table" Target="../tables/table24.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5" Type="http://schemas.openxmlformats.org/officeDocument/2006/relationships/table" Target="../tables/table23.xml"/><Relationship Id="rId2" Type="http://schemas.openxmlformats.org/officeDocument/2006/relationships/drawing" Target="../drawings/drawing1.x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24" Type="http://schemas.openxmlformats.org/officeDocument/2006/relationships/table" Target="../tables/table22.xml"/><Relationship Id="rId5" Type="http://schemas.openxmlformats.org/officeDocument/2006/relationships/table" Target="../tables/table3.xml"/><Relationship Id="rId15" Type="http://schemas.openxmlformats.org/officeDocument/2006/relationships/table" Target="../tables/table13.xml"/><Relationship Id="rId23" Type="http://schemas.openxmlformats.org/officeDocument/2006/relationships/table" Target="../tables/table21.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 Id="rId27" Type="http://schemas.openxmlformats.org/officeDocument/2006/relationships/table" Target="../tables/table25.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582EB-4B14-4463-83E4-7AF189074EE2}">
  <sheetPr>
    <tabColor rgb="FFF6F6C9"/>
  </sheetPr>
  <dimension ref="A1:L83"/>
  <sheetViews>
    <sheetView zoomScale="70" zoomScaleNormal="70" workbookViewId="0">
      <selection activeCell="K34" sqref="K34"/>
    </sheetView>
  </sheetViews>
  <sheetFormatPr defaultColWidth="0" defaultRowHeight="15" zeroHeight="1" x14ac:dyDescent="0.25"/>
  <cols>
    <col min="1" max="1" width="4.85546875" style="1" customWidth="1"/>
    <col min="2" max="10" width="13.7109375" style="1" customWidth="1"/>
    <col min="11" max="11" width="4" style="1" customWidth="1"/>
    <col min="12" max="12" width="5.28515625" style="1" customWidth="1"/>
    <col min="13" max="16384" width="8.85546875" style="1" hidden="1"/>
  </cols>
  <sheetData>
    <row r="1" spans="2:10" x14ac:dyDescent="0.25"/>
    <row r="2" spans="2:10" x14ac:dyDescent="0.25">
      <c r="B2" s="121" t="s">
        <v>86</v>
      </c>
      <c r="C2" s="121"/>
      <c r="D2" s="121"/>
      <c r="E2" s="121"/>
      <c r="F2" s="121"/>
      <c r="G2" s="121"/>
      <c r="H2" s="121"/>
      <c r="I2" s="121"/>
      <c r="J2" s="121"/>
    </row>
    <row r="3" spans="2:10" x14ac:dyDescent="0.25">
      <c r="B3" s="121"/>
      <c r="C3" s="121"/>
      <c r="D3" s="121"/>
      <c r="E3" s="121"/>
      <c r="F3" s="121"/>
      <c r="G3" s="121"/>
      <c r="H3" s="121"/>
      <c r="I3" s="121"/>
      <c r="J3" s="121"/>
    </row>
    <row r="4" spans="2:10" x14ac:dyDescent="0.25">
      <c r="B4" s="121"/>
      <c r="C4" s="121"/>
      <c r="D4" s="121"/>
      <c r="E4" s="121"/>
      <c r="F4" s="121"/>
      <c r="G4" s="121"/>
      <c r="H4" s="121"/>
      <c r="I4" s="121"/>
      <c r="J4" s="121"/>
    </row>
    <row r="5" spans="2:10" x14ac:dyDescent="0.25">
      <c r="B5" s="121"/>
      <c r="C5" s="121"/>
      <c r="D5" s="121"/>
      <c r="E5" s="121"/>
      <c r="F5" s="121"/>
      <c r="G5" s="121"/>
      <c r="H5" s="121"/>
      <c r="I5" s="121"/>
      <c r="J5" s="121"/>
    </row>
    <row r="6" spans="2:10" ht="15.75" thickBot="1" x14ac:dyDescent="0.3"/>
    <row r="7" spans="2:10" ht="14.45" customHeight="1" x14ac:dyDescent="0.25">
      <c r="B7" s="140" t="s">
        <v>75</v>
      </c>
      <c r="C7" s="141"/>
      <c r="D7" s="141"/>
      <c r="E7" s="141"/>
      <c r="F7" s="141"/>
      <c r="G7" s="141"/>
      <c r="H7" s="141"/>
      <c r="I7" s="141"/>
      <c r="J7" s="142"/>
    </row>
    <row r="8" spans="2:10" ht="14.45" customHeight="1" x14ac:dyDescent="0.25">
      <c r="B8" s="143"/>
      <c r="C8" s="144"/>
      <c r="D8" s="144"/>
      <c r="E8" s="144"/>
      <c r="F8" s="144"/>
      <c r="G8" s="144"/>
      <c r="H8" s="144"/>
      <c r="I8" s="144"/>
      <c r="J8" s="145"/>
    </row>
    <row r="9" spans="2:10" ht="14.45" customHeight="1" x14ac:dyDescent="0.25">
      <c r="B9" s="143"/>
      <c r="C9" s="144"/>
      <c r="D9" s="144"/>
      <c r="E9" s="144"/>
      <c r="F9" s="144"/>
      <c r="G9" s="144"/>
      <c r="H9" s="144"/>
      <c r="I9" s="144"/>
      <c r="J9" s="145"/>
    </row>
    <row r="10" spans="2:10" ht="14.45" customHeight="1" x14ac:dyDescent="0.25">
      <c r="B10" s="143"/>
      <c r="C10" s="144"/>
      <c r="D10" s="144"/>
      <c r="E10" s="144"/>
      <c r="F10" s="144"/>
      <c r="G10" s="144"/>
      <c r="H10" s="144"/>
      <c r="I10" s="144"/>
      <c r="J10" s="145"/>
    </row>
    <row r="11" spans="2:10" ht="14.45" customHeight="1" x14ac:dyDescent="0.25">
      <c r="B11" s="143"/>
      <c r="C11" s="144"/>
      <c r="D11" s="144"/>
      <c r="E11" s="144"/>
      <c r="F11" s="144"/>
      <c r="G11" s="144"/>
      <c r="H11" s="144"/>
      <c r="I11" s="144"/>
      <c r="J11" s="145"/>
    </row>
    <row r="12" spans="2:10" ht="15" customHeight="1" x14ac:dyDescent="0.25">
      <c r="B12" s="143"/>
      <c r="C12" s="144"/>
      <c r="D12" s="144"/>
      <c r="E12" s="144"/>
      <c r="F12" s="144"/>
      <c r="G12" s="144"/>
      <c r="H12" s="144"/>
      <c r="I12" s="144"/>
      <c r="J12" s="145"/>
    </row>
    <row r="13" spans="2:10" ht="15.75" thickBot="1" x14ac:dyDescent="0.3">
      <c r="B13" s="146"/>
      <c r="C13" s="147"/>
      <c r="D13" s="147"/>
      <c r="E13" s="147"/>
      <c r="F13" s="147"/>
      <c r="G13" s="147"/>
      <c r="H13" s="147"/>
      <c r="I13" s="147"/>
      <c r="J13" s="148"/>
    </row>
    <row r="14" spans="2:10" ht="15.75" thickBot="1" x14ac:dyDescent="0.3"/>
    <row r="15" spans="2:10" x14ac:dyDescent="0.25">
      <c r="B15" s="122" t="s">
        <v>76</v>
      </c>
      <c r="C15" s="123"/>
      <c r="D15" s="123"/>
      <c r="E15" s="123"/>
      <c r="F15" s="123"/>
      <c r="G15" s="123"/>
      <c r="H15" s="123"/>
      <c r="I15" s="123"/>
      <c r="J15" s="124"/>
    </row>
    <row r="16" spans="2:10" x14ac:dyDescent="0.25">
      <c r="B16" s="125"/>
      <c r="C16" s="126"/>
      <c r="D16" s="126"/>
      <c r="E16" s="126"/>
      <c r="F16" s="126"/>
      <c r="G16" s="126"/>
      <c r="H16" s="126"/>
      <c r="I16" s="126"/>
      <c r="J16" s="127"/>
    </row>
    <row r="17" spans="2:10" x14ac:dyDescent="0.25">
      <c r="B17" s="125"/>
      <c r="C17" s="126"/>
      <c r="D17" s="126"/>
      <c r="E17" s="126"/>
      <c r="F17" s="126"/>
      <c r="G17" s="126"/>
      <c r="H17" s="126"/>
      <c r="I17" s="126"/>
      <c r="J17" s="127"/>
    </row>
    <row r="18" spans="2:10" x14ac:dyDescent="0.25">
      <c r="B18" s="125"/>
      <c r="C18" s="126"/>
      <c r="D18" s="126"/>
      <c r="E18" s="126"/>
      <c r="F18" s="126"/>
      <c r="G18" s="126"/>
      <c r="H18" s="126"/>
      <c r="I18" s="126"/>
      <c r="J18" s="127"/>
    </row>
    <row r="19" spans="2:10" x14ac:dyDescent="0.25">
      <c r="B19" s="125"/>
      <c r="C19" s="126"/>
      <c r="D19" s="126"/>
      <c r="E19" s="126"/>
      <c r="F19" s="126"/>
      <c r="G19" s="126"/>
      <c r="H19" s="126"/>
      <c r="I19" s="126"/>
      <c r="J19" s="127"/>
    </row>
    <row r="20" spans="2:10" ht="15.75" thickBot="1" x14ac:dyDescent="0.3">
      <c r="B20" s="128"/>
      <c r="C20" s="129"/>
      <c r="D20" s="129"/>
      <c r="E20" s="129"/>
      <c r="F20" s="129"/>
      <c r="G20" s="129"/>
      <c r="H20" s="129"/>
      <c r="I20" s="129"/>
      <c r="J20" s="130"/>
    </row>
    <row r="21" spans="2:10" ht="15.75" thickBot="1" x14ac:dyDescent="0.3"/>
    <row r="22" spans="2:10" ht="14.45" customHeight="1" x14ac:dyDescent="0.25">
      <c r="B22" s="122" t="s">
        <v>82</v>
      </c>
      <c r="C22" s="123"/>
      <c r="D22" s="123"/>
      <c r="E22" s="123"/>
      <c r="F22" s="123"/>
      <c r="G22" s="123"/>
      <c r="H22" s="123"/>
      <c r="I22" s="123"/>
      <c r="J22" s="124"/>
    </row>
    <row r="23" spans="2:10" ht="14.45" customHeight="1" x14ac:dyDescent="0.25">
      <c r="B23" s="125"/>
      <c r="C23" s="126"/>
      <c r="D23" s="126"/>
      <c r="E23" s="126"/>
      <c r="F23" s="126"/>
      <c r="G23" s="126"/>
      <c r="H23" s="126"/>
      <c r="I23" s="126"/>
      <c r="J23" s="127"/>
    </row>
    <row r="24" spans="2:10" ht="14.45" customHeight="1" x14ac:dyDescent="0.25">
      <c r="B24" s="125"/>
      <c r="C24" s="126"/>
      <c r="D24" s="126"/>
      <c r="E24" s="126"/>
      <c r="F24" s="126"/>
      <c r="G24" s="126"/>
      <c r="H24" s="126"/>
      <c r="I24" s="126"/>
      <c r="J24" s="127"/>
    </row>
    <row r="25" spans="2:10" ht="14.45" customHeight="1" x14ac:dyDescent="0.25">
      <c r="B25" s="125"/>
      <c r="C25" s="126"/>
      <c r="D25" s="126"/>
      <c r="E25" s="126"/>
      <c r="F25" s="126"/>
      <c r="G25" s="126"/>
      <c r="H25" s="126"/>
      <c r="I25" s="126"/>
      <c r="J25" s="127"/>
    </row>
    <row r="26" spans="2:10" x14ac:dyDescent="0.25">
      <c r="B26" s="125"/>
      <c r="C26" s="126"/>
      <c r="D26" s="126"/>
      <c r="E26" s="126"/>
      <c r="F26" s="126"/>
      <c r="G26" s="126"/>
      <c r="H26" s="126"/>
      <c r="I26" s="126"/>
      <c r="J26" s="127"/>
    </row>
    <row r="27" spans="2:10" ht="15.75" thickBot="1" x14ac:dyDescent="0.3">
      <c r="B27" s="128"/>
      <c r="C27" s="129"/>
      <c r="D27" s="129"/>
      <c r="E27" s="129"/>
      <c r="F27" s="129"/>
      <c r="G27" s="129"/>
      <c r="H27" s="129"/>
      <c r="I27" s="129"/>
      <c r="J27" s="130"/>
    </row>
    <row r="28" spans="2:10" ht="15.75" thickBot="1" x14ac:dyDescent="0.3"/>
    <row r="29" spans="2:10" ht="14.45" customHeight="1" x14ac:dyDescent="0.25">
      <c r="B29" s="122" t="s">
        <v>77</v>
      </c>
      <c r="C29" s="123"/>
      <c r="D29" s="123"/>
      <c r="E29" s="123"/>
      <c r="F29" s="123"/>
      <c r="G29" s="123"/>
      <c r="H29" s="123"/>
      <c r="I29" s="123"/>
      <c r="J29" s="124"/>
    </row>
    <row r="30" spans="2:10" ht="14.45" customHeight="1" x14ac:dyDescent="0.25">
      <c r="B30" s="125"/>
      <c r="C30" s="126"/>
      <c r="D30" s="126"/>
      <c r="E30" s="126"/>
      <c r="F30" s="126"/>
      <c r="G30" s="126"/>
      <c r="H30" s="126"/>
      <c r="I30" s="126"/>
      <c r="J30" s="127"/>
    </row>
    <row r="31" spans="2:10" ht="14.45" customHeight="1" x14ac:dyDescent="0.25">
      <c r="B31" s="125"/>
      <c r="C31" s="126"/>
      <c r="D31" s="126"/>
      <c r="E31" s="126"/>
      <c r="F31" s="126"/>
      <c r="G31" s="126"/>
      <c r="H31" s="126"/>
      <c r="I31" s="126"/>
      <c r="J31" s="127"/>
    </row>
    <row r="32" spans="2:10" ht="14.45" customHeight="1" x14ac:dyDescent="0.25">
      <c r="B32" s="125"/>
      <c r="C32" s="126"/>
      <c r="D32" s="126"/>
      <c r="E32" s="126"/>
      <c r="F32" s="126"/>
      <c r="G32" s="126"/>
      <c r="H32" s="126"/>
      <c r="I32" s="126"/>
      <c r="J32" s="127"/>
    </row>
    <row r="33" spans="2:10" ht="14.45" customHeight="1" x14ac:dyDescent="0.25">
      <c r="B33" s="125"/>
      <c r="C33" s="126"/>
      <c r="D33" s="126"/>
      <c r="E33" s="126"/>
      <c r="F33" s="126"/>
      <c r="G33" s="126"/>
      <c r="H33" s="126"/>
      <c r="I33" s="126"/>
      <c r="J33" s="127"/>
    </row>
    <row r="34" spans="2:10" ht="14.45" customHeight="1" x14ac:dyDescent="0.25">
      <c r="B34" s="125"/>
      <c r="C34" s="126"/>
      <c r="D34" s="126"/>
      <c r="E34" s="126"/>
      <c r="F34" s="126"/>
      <c r="G34" s="126"/>
      <c r="H34" s="126"/>
      <c r="I34" s="126"/>
      <c r="J34" s="127"/>
    </row>
    <row r="35" spans="2:10" x14ac:dyDescent="0.25">
      <c r="B35" s="125"/>
      <c r="C35" s="126"/>
      <c r="D35" s="126"/>
      <c r="E35" s="126"/>
      <c r="F35" s="126"/>
      <c r="G35" s="126"/>
      <c r="H35" s="126"/>
      <c r="I35" s="126"/>
      <c r="J35" s="127"/>
    </row>
    <row r="36" spans="2:10" ht="15.75" thickBot="1" x14ac:dyDescent="0.3">
      <c r="B36" s="128"/>
      <c r="C36" s="129"/>
      <c r="D36" s="129"/>
      <c r="E36" s="129"/>
      <c r="F36" s="129"/>
      <c r="G36" s="129"/>
      <c r="H36" s="129"/>
      <c r="I36" s="129"/>
      <c r="J36" s="130"/>
    </row>
    <row r="37" spans="2:10" ht="15.75" thickBot="1" x14ac:dyDescent="0.3"/>
    <row r="38" spans="2:10" ht="14.45" customHeight="1" x14ac:dyDescent="0.25">
      <c r="B38" s="131" t="s">
        <v>78</v>
      </c>
      <c r="C38" s="132"/>
      <c r="D38" s="132"/>
      <c r="E38" s="132"/>
      <c r="F38" s="132"/>
      <c r="G38" s="132"/>
      <c r="H38" s="132"/>
      <c r="I38" s="132"/>
      <c r="J38" s="133"/>
    </row>
    <row r="39" spans="2:10" ht="14.45" customHeight="1" x14ac:dyDescent="0.25">
      <c r="B39" s="134"/>
      <c r="C39" s="135"/>
      <c r="D39" s="135"/>
      <c r="E39" s="135"/>
      <c r="F39" s="135"/>
      <c r="G39" s="135"/>
      <c r="H39" s="135"/>
      <c r="I39" s="135"/>
      <c r="J39" s="136"/>
    </row>
    <row r="40" spans="2:10" ht="14.45" customHeight="1" x14ac:dyDescent="0.25">
      <c r="B40" s="134"/>
      <c r="C40" s="135"/>
      <c r="D40" s="135"/>
      <c r="E40" s="135"/>
      <c r="F40" s="135"/>
      <c r="G40" s="135"/>
      <c r="H40" s="135"/>
      <c r="I40" s="135"/>
      <c r="J40" s="136"/>
    </row>
    <row r="41" spans="2:10" ht="14.45" customHeight="1" x14ac:dyDescent="0.25">
      <c r="B41" s="134"/>
      <c r="C41" s="135"/>
      <c r="D41" s="135"/>
      <c r="E41" s="135"/>
      <c r="F41" s="135"/>
      <c r="G41" s="135"/>
      <c r="H41" s="135"/>
      <c r="I41" s="135"/>
      <c r="J41" s="136"/>
    </row>
    <row r="42" spans="2:10" ht="14.45" customHeight="1" x14ac:dyDescent="0.25">
      <c r="B42" s="134"/>
      <c r="C42" s="135"/>
      <c r="D42" s="135"/>
      <c r="E42" s="135"/>
      <c r="F42" s="135"/>
      <c r="G42" s="135"/>
      <c r="H42" s="135"/>
      <c r="I42" s="135"/>
      <c r="J42" s="136"/>
    </row>
    <row r="43" spans="2:10" ht="14.45" customHeight="1" x14ac:dyDescent="0.25">
      <c r="B43" s="134"/>
      <c r="C43" s="135"/>
      <c r="D43" s="135"/>
      <c r="E43" s="135"/>
      <c r="F43" s="135"/>
      <c r="G43" s="135"/>
      <c r="H43" s="135"/>
      <c r="I43" s="135"/>
      <c r="J43" s="136"/>
    </row>
    <row r="44" spans="2:10" ht="14.45" customHeight="1" x14ac:dyDescent="0.25">
      <c r="B44" s="134"/>
      <c r="C44" s="135"/>
      <c r="D44" s="135"/>
      <c r="E44" s="135"/>
      <c r="F44" s="135"/>
      <c r="G44" s="135"/>
      <c r="H44" s="135"/>
      <c r="I44" s="135"/>
      <c r="J44" s="136"/>
    </row>
    <row r="45" spans="2:10" ht="14.45" customHeight="1" x14ac:dyDescent="0.25">
      <c r="B45" s="134"/>
      <c r="C45" s="135"/>
      <c r="D45" s="135"/>
      <c r="E45" s="135"/>
      <c r="F45" s="135"/>
      <c r="G45" s="135"/>
      <c r="H45" s="135"/>
      <c r="I45" s="135"/>
      <c r="J45" s="136"/>
    </row>
    <row r="46" spans="2:10" x14ac:dyDescent="0.25">
      <c r="B46" s="134"/>
      <c r="C46" s="135"/>
      <c r="D46" s="135"/>
      <c r="E46" s="135"/>
      <c r="F46" s="135"/>
      <c r="G46" s="135"/>
      <c r="H46" s="135"/>
      <c r="I46" s="135"/>
      <c r="J46" s="136"/>
    </row>
    <row r="47" spans="2:10" ht="15.75" thickBot="1" x14ac:dyDescent="0.3">
      <c r="B47" s="137"/>
      <c r="C47" s="138"/>
      <c r="D47" s="138"/>
      <c r="E47" s="138"/>
      <c r="F47" s="138"/>
      <c r="G47" s="138"/>
      <c r="H47" s="138"/>
      <c r="I47" s="138"/>
      <c r="J47" s="139"/>
    </row>
    <row r="48" spans="2:10" ht="15.75" thickBot="1" x14ac:dyDescent="0.3"/>
    <row r="49" spans="2:10" x14ac:dyDescent="0.25">
      <c r="B49" s="122" t="s">
        <v>79</v>
      </c>
      <c r="C49" s="123"/>
      <c r="D49" s="123"/>
      <c r="E49" s="123"/>
      <c r="F49" s="123"/>
      <c r="G49" s="123"/>
      <c r="H49" s="123"/>
      <c r="I49" s="123"/>
      <c r="J49" s="124"/>
    </row>
    <row r="50" spans="2:10" x14ac:dyDescent="0.25">
      <c r="B50" s="125"/>
      <c r="C50" s="126"/>
      <c r="D50" s="126"/>
      <c r="E50" s="126"/>
      <c r="F50" s="126"/>
      <c r="G50" s="126"/>
      <c r="H50" s="126"/>
      <c r="I50" s="126"/>
      <c r="J50" s="127"/>
    </row>
    <row r="51" spans="2:10" x14ac:dyDescent="0.25">
      <c r="B51" s="125"/>
      <c r="C51" s="126"/>
      <c r="D51" s="126"/>
      <c r="E51" s="126"/>
      <c r="F51" s="126"/>
      <c r="G51" s="126"/>
      <c r="H51" s="126"/>
      <c r="I51" s="126"/>
      <c r="J51" s="127"/>
    </row>
    <row r="52" spans="2:10" x14ac:dyDescent="0.25">
      <c r="B52" s="125"/>
      <c r="C52" s="126"/>
      <c r="D52" s="126"/>
      <c r="E52" s="126"/>
      <c r="F52" s="126"/>
      <c r="G52" s="126"/>
      <c r="H52" s="126"/>
      <c r="I52" s="126"/>
      <c r="J52" s="127"/>
    </row>
    <row r="53" spans="2:10" x14ac:dyDescent="0.25">
      <c r="B53" s="125"/>
      <c r="C53" s="126"/>
      <c r="D53" s="126"/>
      <c r="E53" s="126"/>
      <c r="F53" s="126"/>
      <c r="G53" s="126"/>
      <c r="H53" s="126"/>
      <c r="I53" s="126"/>
      <c r="J53" s="127"/>
    </row>
    <row r="54" spans="2:10" ht="15.75" thickBot="1" x14ac:dyDescent="0.3">
      <c r="B54" s="128"/>
      <c r="C54" s="129"/>
      <c r="D54" s="129"/>
      <c r="E54" s="129"/>
      <c r="F54" s="129"/>
      <c r="G54" s="129"/>
      <c r="H54" s="129"/>
      <c r="I54" s="129"/>
      <c r="J54" s="130"/>
    </row>
    <row r="55" spans="2:10" ht="15.75" thickBot="1" x14ac:dyDescent="0.3"/>
    <row r="56" spans="2:10" ht="14.45" customHeight="1" x14ac:dyDescent="0.25">
      <c r="B56" s="122" t="s">
        <v>84</v>
      </c>
      <c r="C56" s="123"/>
      <c r="D56" s="123"/>
      <c r="E56" s="123"/>
      <c r="F56" s="123"/>
      <c r="G56" s="123"/>
      <c r="H56" s="123"/>
      <c r="I56" s="123"/>
      <c r="J56" s="124"/>
    </row>
    <row r="57" spans="2:10" ht="14.45" customHeight="1" x14ac:dyDescent="0.25">
      <c r="B57" s="125"/>
      <c r="C57" s="126"/>
      <c r="D57" s="126"/>
      <c r="E57" s="126"/>
      <c r="F57" s="126"/>
      <c r="G57" s="126"/>
      <c r="H57" s="126"/>
      <c r="I57" s="126"/>
      <c r="J57" s="127"/>
    </row>
    <row r="58" spans="2:10" ht="14.45" customHeight="1" x14ac:dyDescent="0.25">
      <c r="B58" s="125"/>
      <c r="C58" s="126"/>
      <c r="D58" s="126"/>
      <c r="E58" s="126"/>
      <c r="F58" s="126"/>
      <c r="G58" s="126"/>
      <c r="H58" s="126"/>
      <c r="I58" s="126"/>
      <c r="J58" s="127"/>
    </row>
    <row r="59" spans="2:10" ht="14.45" customHeight="1" x14ac:dyDescent="0.25">
      <c r="B59" s="125"/>
      <c r="C59" s="126"/>
      <c r="D59" s="126"/>
      <c r="E59" s="126"/>
      <c r="F59" s="126"/>
      <c r="G59" s="126"/>
      <c r="H59" s="126"/>
      <c r="I59" s="126"/>
      <c r="J59" s="127"/>
    </row>
    <row r="60" spans="2:10" ht="14.45" customHeight="1" x14ac:dyDescent="0.25">
      <c r="B60" s="125"/>
      <c r="C60" s="126"/>
      <c r="D60" s="126"/>
      <c r="E60" s="126"/>
      <c r="F60" s="126"/>
      <c r="G60" s="126"/>
      <c r="H60" s="126"/>
      <c r="I60" s="126"/>
      <c r="J60" s="127"/>
    </row>
    <row r="61" spans="2:10" x14ac:dyDescent="0.25">
      <c r="B61" s="125"/>
      <c r="C61" s="126"/>
      <c r="D61" s="126"/>
      <c r="E61" s="126"/>
      <c r="F61" s="126"/>
      <c r="G61" s="126"/>
      <c r="H61" s="126"/>
      <c r="I61" s="126"/>
      <c r="J61" s="127"/>
    </row>
    <row r="62" spans="2:10" ht="15.75" thickBot="1" x14ac:dyDescent="0.3">
      <c r="B62" s="128"/>
      <c r="C62" s="129"/>
      <c r="D62" s="129"/>
      <c r="E62" s="129"/>
      <c r="F62" s="129"/>
      <c r="G62" s="129"/>
      <c r="H62" s="129"/>
      <c r="I62" s="129"/>
      <c r="J62" s="130"/>
    </row>
    <row r="63" spans="2:10" ht="15.75" thickBot="1" x14ac:dyDescent="0.3"/>
    <row r="64" spans="2:10" x14ac:dyDescent="0.25">
      <c r="B64" s="131" t="s">
        <v>80</v>
      </c>
      <c r="C64" s="132"/>
      <c r="D64" s="132"/>
      <c r="E64" s="132"/>
      <c r="F64" s="132"/>
      <c r="G64" s="132"/>
      <c r="H64" s="132"/>
      <c r="I64" s="132"/>
      <c r="J64" s="133"/>
    </row>
    <row r="65" spans="2:10" x14ac:dyDescent="0.25">
      <c r="B65" s="134"/>
      <c r="C65" s="135"/>
      <c r="D65" s="135"/>
      <c r="E65" s="135"/>
      <c r="F65" s="135"/>
      <c r="G65" s="135"/>
      <c r="H65" s="135"/>
      <c r="I65" s="135"/>
      <c r="J65" s="136"/>
    </row>
    <row r="66" spans="2:10" x14ac:dyDescent="0.25">
      <c r="B66" s="134"/>
      <c r="C66" s="135"/>
      <c r="D66" s="135"/>
      <c r="E66" s="135"/>
      <c r="F66" s="135"/>
      <c r="G66" s="135"/>
      <c r="H66" s="135"/>
      <c r="I66" s="135"/>
      <c r="J66" s="136"/>
    </row>
    <row r="67" spans="2:10" x14ac:dyDescent="0.25">
      <c r="B67" s="134"/>
      <c r="C67" s="135"/>
      <c r="D67" s="135"/>
      <c r="E67" s="135"/>
      <c r="F67" s="135"/>
      <c r="G67" s="135"/>
      <c r="H67" s="135"/>
      <c r="I67" s="135"/>
      <c r="J67" s="136"/>
    </row>
    <row r="68" spans="2:10" x14ac:dyDescent="0.25">
      <c r="B68" s="134"/>
      <c r="C68" s="135"/>
      <c r="D68" s="135"/>
      <c r="E68" s="135"/>
      <c r="F68" s="135"/>
      <c r="G68" s="135"/>
      <c r="H68" s="135"/>
      <c r="I68" s="135"/>
      <c r="J68" s="136"/>
    </row>
    <row r="69" spans="2:10" ht="15.75" thickBot="1" x14ac:dyDescent="0.3">
      <c r="B69" s="137"/>
      <c r="C69" s="138"/>
      <c r="D69" s="138"/>
      <c r="E69" s="138"/>
      <c r="F69" s="138"/>
      <c r="G69" s="138"/>
      <c r="H69" s="138"/>
      <c r="I69" s="138"/>
      <c r="J69" s="139"/>
    </row>
    <row r="70" spans="2:10" ht="15.75" thickBot="1" x14ac:dyDescent="0.3"/>
    <row r="71" spans="2:10" ht="14.45" customHeight="1" x14ac:dyDescent="0.25">
      <c r="B71" s="131" t="s">
        <v>81</v>
      </c>
      <c r="C71" s="132"/>
      <c r="D71" s="132"/>
      <c r="E71" s="132"/>
      <c r="F71" s="132"/>
      <c r="G71" s="132"/>
      <c r="H71" s="132"/>
      <c r="I71" s="132"/>
      <c r="J71" s="133"/>
    </row>
    <row r="72" spans="2:10" ht="14.45" customHeight="1" x14ac:dyDescent="0.25">
      <c r="B72" s="134"/>
      <c r="C72" s="135"/>
      <c r="D72" s="135"/>
      <c r="E72" s="135"/>
      <c r="F72" s="135"/>
      <c r="G72" s="135"/>
      <c r="H72" s="135"/>
      <c r="I72" s="135"/>
      <c r="J72" s="136"/>
    </row>
    <row r="73" spans="2:10" ht="14.45" customHeight="1" x14ac:dyDescent="0.25">
      <c r="B73" s="134"/>
      <c r="C73" s="135"/>
      <c r="D73" s="135"/>
      <c r="E73" s="135"/>
      <c r="F73" s="135"/>
      <c r="G73" s="135"/>
      <c r="H73" s="135"/>
      <c r="I73" s="135"/>
      <c r="J73" s="136"/>
    </row>
    <row r="74" spans="2:10" ht="14.45" customHeight="1" x14ac:dyDescent="0.25">
      <c r="B74" s="134"/>
      <c r="C74" s="135"/>
      <c r="D74" s="135"/>
      <c r="E74" s="135"/>
      <c r="F74" s="135"/>
      <c r="G74" s="135"/>
      <c r="H74" s="135"/>
      <c r="I74" s="135"/>
      <c r="J74" s="136"/>
    </row>
    <row r="75" spans="2:10" ht="14.45" customHeight="1" x14ac:dyDescent="0.25">
      <c r="B75" s="134"/>
      <c r="C75" s="135"/>
      <c r="D75" s="135"/>
      <c r="E75" s="135"/>
      <c r="F75" s="135"/>
      <c r="G75" s="135"/>
      <c r="H75" s="135"/>
      <c r="I75" s="135"/>
      <c r="J75" s="136"/>
    </row>
    <row r="76" spans="2:10" x14ac:dyDescent="0.25">
      <c r="B76" s="134"/>
      <c r="C76" s="135"/>
      <c r="D76" s="135"/>
      <c r="E76" s="135"/>
      <c r="F76" s="135"/>
      <c r="G76" s="135"/>
      <c r="H76" s="135"/>
      <c r="I76" s="135"/>
      <c r="J76" s="136"/>
    </row>
    <row r="77" spans="2:10" ht="15.75" thickBot="1" x14ac:dyDescent="0.3">
      <c r="B77" s="137"/>
      <c r="C77" s="138"/>
      <c r="D77" s="138"/>
      <c r="E77" s="138"/>
      <c r="F77" s="138"/>
      <c r="G77" s="138"/>
      <c r="H77" s="138"/>
      <c r="I77" s="138"/>
      <c r="J77" s="139"/>
    </row>
    <row r="78" spans="2:10" ht="18.75" hidden="1" x14ac:dyDescent="0.25">
      <c r="B78" s="12"/>
      <c r="C78" s="12"/>
      <c r="D78" s="12"/>
      <c r="E78" s="12"/>
      <c r="F78" s="12"/>
      <c r="G78" s="12"/>
      <c r="H78" s="12"/>
      <c r="I78" s="12"/>
      <c r="J78" s="12"/>
    </row>
    <row r="79" spans="2:10" ht="18.75" hidden="1" x14ac:dyDescent="0.25">
      <c r="B79" s="12"/>
      <c r="C79" s="12"/>
      <c r="D79" s="12"/>
      <c r="E79" s="12"/>
      <c r="F79" s="12"/>
      <c r="G79" s="12"/>
      <c r="H79" s="12"/>
      <c r="I79" s="12"/>
      <c r="J79" s="12"/>
    </row>
    <row r="81" spans="2:8" x14ac:dyDescent="0.25"/>
    <row r="82" spans="2:8" s="72" customFormat="1" x14ac:dyDescent="0.25">
      <c r="B82" s="73" t="s">
        <v>104</v>
      </c>
      <c r="C82" s="74" t="s">
        <v>105</v>
      </c>
      <c r="G82" s="75" t="s">
        <v>106</v>
      </c>
      <c r="H82" s="76" t="s">
        <v>85</v>
      </c>
    </row>
    <row r="83" spans="2:8" x14ac:dyDescent="0.25"/>
  </sheetData>
  <sheetProtection algorithmName="SHA-512" hashValue="V5bLAJBvzyaQFDWPgNy3AOl43tp5sPioHjDKQgAyklWGyTnKwHvw/ry1mu5W5B1RS4aCeCN0ABSGdEXqUH6WRQ==" saltValue="HpIOHl1EKMPMwneWng/N4g==" spinCount="100000" sheet="1" scenarios="1" insertHyperlinks="0"/>
  <mergeCells count="10">
    <mergeCell ref="B2:J5"/>
    <mergeCell ref="B56:J62"/>
    <mergeCell ref="B64:J69"/>
    <mergeCell ref="B71:J77"/>
    <mergeCell ref="B7:J13"/>
    <mergeCell ref="B15:J20"/>
    <mergeCell ref="B22:J27"/>
    <mergeCell ref="B29:J36"/>
    <mergeCell ref="B38:J47"/>
    <mergeCell ref="B49:J54"/>
  </mergeCells>
  <hyperlinks>
    <hyperlink ref="B2" r:id="rId1" xr:uid="{F67D9DCA-899F-4A85-9827-168609EC8C3B}"/>
    <hyperlink ref="H82" r:id="rId2" xr:uid="{1E9BB698-482F-43C3-82BA-C90F9FB4A865}"/>
    <hyperlink ref="C82" r:id="rId3" xr:uid="{01BB6DC5-3162-4C6B-AA49-1CAC806681CF}"/>
  </hyperlinks>
  <pageMargins left="0.7" right="0.7" top="0.75" bottom="0.75" header="0.3" footer="0.3"/>
  <pageSetup paperSize="9"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49BAF-E9A8-4C28-B897-5A46A70CC88B}">
  <sheetPr codeName="Arkusz4">
    <tabColor rgb="FF4FA095"/>
  </sheetPr>
  <dimension ref="A1:AL488"/>
  <sheetViews>
    <sheetView tabSelected="1" zoomScale="70" zoomScaleNormal="70" workbookViewId="0">
      <selection activeCell="B24" sqref="B24"/>
    </sheetView>
  </sheetViews>
  <sheetFormatPr defaultColWidth="0" defaultRowHeight="15" zeroHeight="1" x14ac:dyDescent="0.25"/>
  <cols>
    <col min="1" max="1" width="32.140625" style="1" customWidth="1"/>
    <col min="2" max="3" width="20.85546875" style="1" customWidth="1"/>
    <col min="4" max="4" width="15.85546875" style="1" customWidth="1"/>
    <col min="5" max="5" width="24.85546875" style="1" customWidth="1"/>
    <col min="6" max="6" width="3.42578125" style="1" customWidth="1"/>
    <col min="7" max="7" width="3.85546875" style="1" customWidth="1"/>
    <col min="8" max="8" width="7.85546875" style="1" customWidth="1"/>
    <col min="9" max="9" width="14.7109375" style="1" customWidth="1"/>
    <col min="10" max="10" width="19.28515625" style="1" customWidth="1"/>
    <col min="11" max="12" width="14.7109375" style="1" customWidth="1"/>
    <col min="13" max="13" width="16" style="1" customWidth="1"/>
    <col min="14" max="15" width="14.7109375" style="1" customWidth="1"/>
    <col min="16" max="16" width="8.28515625" style="1" customWidth="1"/>
    <col min="17" max="17" width="25.85546875" style="1" customWidth="1"/>
    <col min="18" max="18" width="23" style="1" customWidth="1"/>
    <col min="19" max="19" width="18.28515625" style="1" customWidth="1"/>
    <col min="20" max="20" width="14.7109375" style="1" customWidth="1"/>
    <col min="21" max="21" width="14.7109375" style="1" hidden="1" customWidth="1"/>
    <col min="22" max="22" width="16.140625" style="1" hidden="1" customWidth="1"/>
    <col min="23" max="24" width="14.7109375" style="1" hidden="1" customWidth="1"/>
    <col min="25" max="25" width="8.85546875" style="1" hidden="1" customWidth="1"/>
    <col min="26" max="31" width="14.7109375" style="1" hidden="1" customWidth="1"/>
    <col min="32" max="32" width="17.28515625" style="1" hidden="1" customWidth="1"/>
    <col min="33" max="34" width="14.7109375" style="1" hidden="1" customWidth="1"/>
    <col min="35" max="35" width="8.85546875" style="1" hidden="1" customWidth="1"/>
    <col min="36" max="38" width="0" style="1" hidden="1" customWidth="1"/>
    <col min="39" max="16384" width="8.85546875" style="1" hidden="1"/>
  </cols>
  <sheetData>
    <row r="1" spans="1:19" ht="39.6" customHeight="1" thickBot="1" x14ac:dyDescent="0.3">
      <c r="B1" s="7" t="str">
        <f ca="1">CELL("nazwa_pliku",A1)</f>
        <v>C:\Users\Krzysztof\Desktop\Kalkulator\v 1.3\Prod\xlsx\[Kalkulator v1.2_DEMO.xlsx]Auto_1</v>
      </c>
      <c r="C1" s="7"/>
      <c r="D1" s="7"/>
      <c r="J1" s="152" t="str">
        <f ca="1">MID(B1,SEARCH("]",B1)+1,31)</f>
        <v>Auto_1</v>
      </c>
      <c r="K1" s="153"/>
      <c r="L1" s="153"/>
      <c r="M1" s="154"/>
    </row>
    <row r="2" spans="1:19" ht="39.6" customHeight="1" thickBot="1" x14ac:dyDescent="0.3">
      <c r="A2" s="91" t="s">
        <v>125</v>
      </c>
      <c r="B2" s="92" t="s">
        <v>113</v>
      </c>
      <c r="C2" s="7"/>
      <c r="D2" s="7"/>
      <c r="J2" s="13"/>
      <c r="K2" s="13"/>
      <c r="L2" s="13"/>
      <c r="M2" s="13"/>
    </row>
    <row r="3" spans="1:19" ht="25.5" customHeight="1" thickBot="1" x14ac:dyDescent="0.3">
      <c r="A3" s="70"/>
      <c r="B3" s="71"/>
      <c r="H3" s="155" t="s">
        <v>6</v>
      </c>
      <c r="I3" s="156"/>
      <c r="J3" s="120">
        <v>2023</v>
      </c>
    </row>
    <row r="4" spans="1:19" ht="19.899999999999999" customHeight="1" x14ac:dyDescent="0.25">
      <c r="H4" s="7">
        <f>MATCH($H$3,{"styczeń";"luty";"marzec";"kwiecień";"maj";"czerwiec";"lipiec";"sierpień";"wrzesień";"październik";"listopad";"grudzień"},0)</f>
        <v>1</v>
      </c>
    </row>
    <row r="5" spans="1:19" s="27" customFormat="1" ht="35.1" customHeight="1" x14ac:dyDescent="0.25">
      <c r="A5" s="79" t="s">
        <v>18</v>
      </c>
      <c r="B5" s="79" t="s">
        <v>61</v>
      </c>
      <c r="C5" s="79" t="s">
        <v>62</v>
      </c>
      <c r="D5" s="79" t="s">
        <v>63</v>
      </c>
      <c r="E5" s="79" t="s">
        <v>59</v>
      </c>
      <c r="F5" s="34"/>
      <c r="H5" s="77" t="s">
        <v>0</v>
      </c>
      <c r="I5" s="77" t="s">
        <v>1</v>
      </c>
      <c r="J5" s="77" t="s">
        <v>2</v>
      </c>
      <c r="K5" s="77" t="s">
        <v>4</v>
      </c>
      <c r="L5" s="77" t="s">
        <v>3</v>
      </c>
      <c r="M5" s="77" t="s">
        <v>114</v>
      </c>
      <c r="N5" s="77" t="s">
        <v>115</v>
      </c>
      <c r="O5" s="78" t="s">
        <v>19</v>
      </c>
      <c r="Q5" s="77" t="s">
        <v>93</v>
      </c>
      <c r="R5" s="77" t="s">
        <v>49</v>
      </c>
      <c r="S5" s="77" t="s">
        <v>48</v>
      </c>
    </row>
    <row r="6" spans="1:19" ht="15.75" x14ac:dyDescent="0.25">
      <c r="A6" s="54" t="str">
        <f>H3&amp;" "&amp;J3</f>
        <v>Styczeń 2023</v>
      </c>
      <c r="B6" s="35">
        <v>5500</v>
      </c>
      <c r="C6" s="86">
        <f>M38</f>
        <v>0</v>
      </c>
      <c r="D6" s="36">
        <f>L39</f>
        <v>0</v>
      </c>
      <c r="E6" s="37">
        <f>IFERROR(IF($B$2="EUR(€)",Koszty_1[[#Totals],[Kwota PLN '[netto']]]+(Koszty_1[[#Totals],[Kwota € '[netto']]]*VLOOKUP(A6,Wyniki!$D$5:$E$16,2,FALSE)),Koszty_1[[#Totals],[Kwota PLN '[netto']]]),0)</f>
        <v>0</v>
      </c>
      <c r="F6" s="2"/>
      <c r="G6" s="27"/>
      <c r="H6" s="38">
        <f>DATE(J3,H4,1)</f>
        <v>44927</v>
      </c>
      <c r="I6" s="39"/>
      <c r="J6" s="39"/>
      <c r="K6" s="39"/>
      <c r="L6" s="39"/>
      <c r="M6" s="40"/>
      <c r="N6" s="41" t="str">
        <f>IFERROR(Miesiac_1[[#This Row],[Stawka]]/(Miesiac_1[[#This Row],[Trasa '[km']]]+Miesiac_1[[#This Row],[Podjazd '[km']]]),"-")</f>
        <v>-</v>
      </c>
      <c r="O6" s="42"/>
      <c r="Q6" s="51" t="s">
        <v>53</v>
      </c>
      <c r="R6" s="55"/>
      <c r="S6" s="52"/>
    </row>
    <row r="7" spans="1:19" ht="16.149999999999999" customHeight="1" x14ac:dyDescent="0.25">
      <c r="A7" s="54" t="str">
        <f>H42&amp;" "&amp;J42</f>
        <v>Luty 2023</v>
      </c>
      <c r="B7" s="35">
        <v>8000</v>
      </c>
      <c r="C7" s="86">
        <f>M77</f>
        <v>0</v>
      </c>
      <c r="D7" s="36">
        <f>L78</f>
        <v>0</v>
      </c>
      <c r="E7" s="37">
        <f>IFERROR(IF($B$2="EUR(€)",Koszty_2[[#Totals],[Kwota PLN '[netto']]]+(Koszty_2[[#Totals],[Kwota € '[netto']]]*VLOOKUP(A7,Wyniki!$D$5:$E$16,2,FALSE)),Koszty_2[[#Totals],[Kwota PLN '[netto']]]),0)</f>
        <v>0</v>
      </c>
      <c r="F7" s="2"/>
      <c r="G7" s="27"/>
      <c r="H7" s="43">
        <f>H6+1</f>
        <v>44928</v>
      </c>
      <c r="I7" s="42"/>
      <c r="J7" s="42"/>
      <c r="K7" s="42"/>
      <c r="L7" s="42"/>
      <c r="M7" s="44"/>
      <c r="N7" s="45" t="str">
        <f>IFERROR(Miesiac_1[[#This Row],[Stawka]]/(Miesiac_1[[#This Row],[Trasa '[km']]]+Miesiac_1[[#This Row],[Podjazd '[km']]]),"-")</f>
        <v>-</v>
      </c>
      <c r="O7" s="46"/>
      <c r="Q7" s="51" t="s">
        <v>54</v>
      </c>
      <c r="R7" s="55"/>
      <c r="S7" s="52"/>
    </row>
    <row r="8" spans="1:19" ht="15.75" x14ac:dyDescent="0.25">
      <c r="A8" s="54" t="str">
        <f>H81&amp;" "&amp;J81</f>
        <v>Marzec 2023</v>
      </c>
      <c r="B8" s="35">
        <v>8000</v>
      </c>
      <c r="C8" s="86">
        <f>M116</f>
        <v>0</v>
      </c>
      <c r="D8" s="36">
        <f>L117</f>
        <v>0</v>
      </c>
      <c r="E8" s="37">
        <f>IFERROR(IF($B$2="EUR(€)",Koszty_3[[#Totals],[Kwota PLN '[netto']]]+(Koszty_3[[#Totals],[Kwota € '[netto']]]*VLOOKUP(A8,Wyniki!$D$5:$E$16,2,FALSE)),Koszty_3[[#Totals],[Kwota PLN '[netto']]]),0)</f>
        <v>0</v>
      </c>
      <c r="F8" s="2"/>
      <c r="G8" s="27"/>
      <c r="H8" s="43">
        <f t="shared" ref="H8:H32" si="0">H7+1</f>
        <v>44929</v>
      </c>
      <c r="I8" s="42"/>
      <c r="J8" s="42"/>
      <c r="K8" s="42"/>
      <c r="L8" s="42"/>
      <c r="M8" s="44"/>
      <c r="N8" s="45" t="str">
        <f>IFERROR(Miesiac_1[[#This Row],[Stawka]]/(Miesiac_1[[#This Row],[Trasa '[km']]]+Miesiac_1[[#This Row],[Podjazd '[km']]]),"-")</f>
        <v>-</v>
      </c>
      <c r="O8" s="42"/>
      <c r="Q8" s="51" t="s">
        <v>37</v>
      </c>
      <c r="R8" s="55"/>
      <c r="S8" s="52"/>
    </row>
    <row r="9" spans="1:19" ht="15.75" x14ac:dyDescent="0.25">
      <c r="A9" s="54" t="str">
        <f>H120&amp;" "&amp;J120</f>
        <v>Kwiecień 2023</v>
      </c>
      <c r="B9" s="35">
        <v>8000</v>
      </c>
      <c r="C9" s="86">
        <f>M155</f>
        <v>0</v>
      </c>
      <c r="D9" s="36">
        <f>L156</f>
        <v>0</v>
      </c>
      <c r="E9" s="37">
        <f>IFERROR(IF($B$2="EUR(€)",Koszty_4[[#Totals],[Kwota PLN '[netto']]]+(Koszty_4[[#Totals],[Kwota € '[netto']]]*VLOOKUP(A9,Wyniki!$D$5:$E$16,2,FALSE)),Koszty_4[[#Totals],[Kwota PLN '[netto']]]),0)</f>
        <v>0</v>
      </c>
      <c r="F9" s="2"/>
      <c r="G9" s="27"/>
      <c r="H9" s="43">
        <f t="shared" si="0"/>
        <v>44930</v>
      </c>
      <c r="I9" s="42"/>
      <c r="J9" s="42"/>
      <c r="K9" s="42"/>
      <c r="L9" s="42"/>
      <c r="M9" s="44"/>
      <c r="N9" s="45" t="str">
        <f>IFERROR(Miesiac_1[[#This Row],[Stawka]]/(Miesiac_1[[#This Row],[Trasa '[km']]]+Miesiac_1[[#This Row],[Podjazd '[km']]]),"-")</f>
        <v>-</v>
      </c>
      <c r="O9" s="39"/>
      <c r="Q9" s="51" t="s">
        <v>43</v>
      </c>
      <c r="R9" s="55"/>
      <c r="S9" s="52"/>
    </row>
    <row r="10" spans="1:19" ht="15.75" x14ac:dyDescent="0.25">
      <c r="A10" s="54" t="str">
        <f>H159&amp;" "&amp;J159</f>
        <v>Maj 2023</v>
      </c>
      <c r="B10" s="35">
        <v>8000</v>
      </c>
      <c r="C10" s="86">
        <f>M194</f>
        <v>0</v>
      </c>
      <c r="D10" s="36">
        <f>L195</f>
        <v>0</v>
      </c>
      <c r="E10" s="37">
        <f>IFERROR(IF($B$2="EUR(€)",Koszty_5[[#Totals],[Kwota PLN '[netto']]]+(Koszty_5[[#Totals],[Kwota € '[netto']]]*VLOOKUP(A10,Wyniki!$D$5:$E$16,2,FALSE)),Koszty_5[[#Totals],[Kwota PLN '[netto']]]),0)</f>
        <v>0</v>
      </c>
      <c r="F10" s="2"/>
      <c r="G10" s="27"/>
      <c r="H10" s="43">
        <f t="shared" si="0"/>
        <v>44931</v>
      </c>
      <c r="I10" s="42"/>
      <c r="J10" s="42"/>
      <c r="K10" s="42"/>
      <c r="L10" s="42"/>
      <c r="M10" s="44"/>
      <c r="N10" s="45" t="str">
        <f>IFERROR(Miesiac_1[[#This Row],[Stawka]]/(Miesiac_1[[#This Row],[Trasa '[km']]]+Miesiac_1[[#This Row],[Podjazd '[km']]]),"-")</f>
        <v>-</v>
      </c>
      <c r="O10" s="39"/>
      <c r="Q10" s="51" t="s">
        <v>57</v>
      </c>
      <c r="R10" s="55"/>
      <c r="S10" s="52"/>
    </row>
    <row r="11" spans="1:19" ht="15.75" x14ac:dyDescent="0.25">
      <c r="A11" s="54" t="str">
        <f>H198&amp;" "&amp;J198</f>
        <v>Czerwiec 2023</v>
      </c>
      <c r="B11" s="35">
        <v>8000</v>
      </c>
      <c r="C11" s="86">
        <f>M233</f>
        <v>0</v>
      </c>
      <c r="D11" s="36">
        <f>L234</f>
        <v>0</v>
      </c>
      <c r="E11" s="37">
        <f>IFERROR(IF($B$2="EUR(€)",Koszty_6[[#Totals],[Kwota PLN '[netto']]]+(Koszty_6[[#Totals],[Kwota € '[netto']]]*VLOOKUP(A11,Wyniki!$D$5:$E$16,2,FALSE)),Koszty_6[[#Totals],[Kwota PLN '[netto']]]),0)</f>
        <v>0</v>
      </c>
      <c r="F11" s="2"/>
      <c r="G11" s="27"/>
      <c r="H11" s="43">
        <f t="shared" si="0"/>
        <v>44932</v>
      </c>
      <c r="I11" s="42"/>
      <c r="J11" s="42"/>
      <c r="K11" s="42"/>
      <c r="L11" s="42"/>
      <c r="M11" s="44"/>
      <c r="N11" s="45" t="str">
        <f>IFERROR(Miesiac_1[[#This Row],[Stawka]]/(Miesiac_1[[#This Row],[Trasa '[km']]]+Miesiac_1[[#This Row],[Podjazd '[km']]]),"-")</f>
        <v>-</v>
      </c>
      <c r="O11" s="42"/>
      <c r="Q11" s="51" t="s">
        <v>58</v>
      </c>
      <c r="R11" s="55"/>
      <c r="S11" s="52"/>
    </row>
    <row r="12" spans="1:19" ht="15.75" x14ac:dyDescent="0.25">
      <c r="A12" s="54" t="str">
        <f>H237&amp;" "&amp;J237</f>
        <v>Lipiec 2023</v>
      </c>
      <c r="B12" s="35">
        <v>6000</v>
      </c>
      <c r="C12" s="86">
        <f>M272</f>
        <v>0</v>
      </c>
      <c r="D12" s="36">
        <f>L273</f>
        <v>0</v>
      </c>
      <c r="E12" s="37">
        <f>IFERROR(IF($B$2="EUR(€)",Koszty_7[[#Totals],[Kwota PLN '[netto']]]+(Koszty_7[[#Totals],[Kwota € '[netto']]]*VLOOKUP(A12,Wyniki!$D$5:$E$16,2,FALSE)),Koszty_7[[#Totals],[Kwota PLN '[netto']]]),0)</f>
        <v>0</v>
      </c>
      <c r="F12" s="2"/>
      <c r="G12" s="27"/>
      <c r="H12" s="43">
        <f t="shared" si="0"/>
        <v>44933</v>
      </c>
      <c r="I12" s="42"/>
      <c r="J12" s="42"/>
      <c r="K12" s="42"/>
      <c r="L12" s="42"/>
      <c r="M12" s="44"/>
      <c r="N12" s="45" t="str">
        <f>IFERROR(Miesiac_1[[#This Row],[Stawka]]/(Miesiac_1[[#This Row],[Trasa '[km']]]+Miesiac_1[[#This Row],[Podjazd '[km']]]),"-")</f>
        <v>-</v>
      </c>
      <c r="O12" s="42"/>
      <c r="Q12" s="51" t="s">
        <v>51</v>
      </c>
      <c r="R12" s="55"/>
      <c r="S12" s="52"/>
    </row>
    <row r="13" spans="1:19" ht="15.75" x14ac:dyDescent="0.25">
      <c r="A13" s="54" t="str">
        <f>H276&amp;" " &amp;J276</f>
        <v>Sierpień 2023</v>
      </c>
      <c r="B13" s="35">
        <v>8000</v>
      </c>
      <c r="C13" s="86">
        <f>M311</f>
        <v>0</v>
      </c>
      <c r="D13" s="36">
        <f>L312</f>
        <v>0</v>
      </c>
      <c r="E13" s="37">
        <f>IFERROR(IF($B$2="EUR(€)",Koszty_8[[#Totals],[Kwota PLN '[netto']]]+(Koszty_8[[#Totals],[Kwota € '[netto']]]*VLOOKUP(A13,Wyniki!$D$5:$E$16,2,FALSE)),Koszty_8[[#Totals],[Kwota PLN '[netto']]]),0)</f>
        <v>0</v>
      </c>
      <c r="F13" s="2"/>
      <c r="G13" s="27"/>
      <c r="H13" s="43">
        <f t="shared" si="0"/>
        <v>44934</v>
      </c>
      <c r="I13" s="42"/>
      <c r="J13" s="42"/>
      <c r="K13" s="42"/>
      <c r="L13" s="42"/>
      <c r="M13" s="44"/>
      <c r="N13" s="45" t="str">
        <f>IFERROR(Miesiac_1[[#This Row],[Stawka]]/(Miesiac_1[[#This Row],[Trasa '[km']]]+Miesiac_1[[#This Row],[Podjazd '[km']]]),"-")</f>
        <v>-</v>
      </c>
      <c r="O13" s="42"/>
      <c r="Q13" s="51" t="s">
        <v>95</v>
      </c>
      <c r="R13" s="55"/>
      <c r="S13" s="52"/>
    </row>
    <row r="14" spans="1:19" ht="15.75" x14ac:dyDescent="0.25">
      <c r="A14" s="54" t="str">
        <f>H315&amp;" "&amp;J315</f>
        <v>Wrzesień 2023</v>
      </c>
      <c r="B14" s="35">
        <v>8000</v>
      </c>
      <c r="C14" s="86">
        <f>M350</f>
        <v>0</v>
      </c>
      <c r="D14" s="36">
        <f>L351</f>
        <v>0</v>
      </c>
      <c r="E14" s="37">
        <f>IFERROR(IF($B$2="EUR(€)",Koszty_9[[#Totals],[Kwota PLN '[netto']]]+(Koszty_9[[#Totals],[Kwota € '[netto']]]*VLOOKUP(A14,Wyniki!$D$5:$E$16,2,FALSE)),Koszty_9[[#Totals],[Kwota PLN '[netto']]]),0)</f>
        <v>0</v>
      </c>
      <c r="F14" s="2"/>
      <c r="G14" s="27"/>
      <c r="H14" s="43">
        <f t="shared" si="0"/>
        <v>44935</v>
      </c>
      <c r="I14" s="42"/>
      <c r="J14" s="42"/>
      <c r="K14" s="42"/>
      <c r="L14" s="42"/>
      <c r="M14" s="44"/>
      <c r="N14" s="45" t="str">
        <f>IFERROR(Miesiac_1[[#This Row],[Stawka]]/(Miesiac_1[[#This Row],[Trasa '[km']]]+Miesiac_1[[#This Row],[Podjazd '[km']]]),"-")</f>
        <v>-</v>
      </c>
      <c r="O14" s="42"/>
      <c r="Q14" s="51" t="s">
        <v>50</v>
      </c>
      <c r="R14" s="55"/>
      <c r="S14" s="52"/>
    </row>
    <row r="15" spans="1:19" ht="15.75" x14ac:dyDescent="0.25">
      <c r="A15" s="54" t="str">
        <f>H354&amp;" "&amp;J354</f>
        <v>Październik 2023</v>
      </c>
      <c r="B15" s="35">
        <v>8000</v>
      </c>
      <c r="C15" s="86">
        <f>M389</f>
        <v>0</v>
      </c>
      <c r="D15" s="36">
        <f>L390</f>
        <v>0</v>
      </c>
      <c r="E15" s="37">
        <f>IFERROR(IF($B$2="EUR(€)",Koszty_10[[#Totals],[Kwota PLN '[netto']]]+(Koszty_10[[#Totals],[Kwota € '[netto']]]*VLOOKUP(A15,Wyniki!$D$5:$E$16,2,FALSE)),Koszty_10[[#Totals],[Kwota PLN '[netto']]]),0)</f>
        <v>0</v>
      </c>
      <c r="F15" s="2"/>
      <c r="G15" s="27"/>
      <c r="H15" s="43">
        <f t="shared" si="0"/>
        <v>44936</v>
      </c>
      <c r="I15" s="42"/>
      <c r="J15" s="42"/>
      <c r="K15" s="42"/>
      <c r="L15" s="42"/>
      <c r="M15" s="44"/>
      <c r="N15" s="45" t="str">
        <f>IFERROR(Miesiac_1[[#This Row],[Stawka]]/(Miesiac_1[[#This Row],[Trasa '[km']]]+Miesiac_1[[#This Row],[Podjazd '[km']]]),"-")</f>
        <v>-</v>
      </c>
      <c r="O15" s="42"/>
      <c r="Q15" s="51" t="s">
        <v>52</v>
      </c>
      <c r="R15" s="55"/>
      <c r="S15" s="52"/>
    </row>
    <row r="16" spans="1:19" ht="15.75" x14ac:dyDescent="0.25">
      <c r="A16" s="54" t="str">
        <f>H393&amp;" "&amp;J393</f>
        <v>Listopad 2023</v>
      </c>
      <c r="B16" s="35">
        <v>8000</v>
      </c>
      <c r="C16" s="86">
        <f>M428</f>
        <v>0</v>
      </c>
      <c r="D16" s="36">
        <f>L429</f>
        <v>0</v>
      </c>
      <c r="E16" s="37">
        <f>IFERROR(IF($B$2="EUR(€)",Koszty_11[[#Totals],[Kwota PLN '[netto']]]+(Koszty_11[[#Totals],[Kwota € '[netto']]]*VLOOKUP(A16,Wyniki!$D$5:$E$16,2,FALSE)),Koszty_11[[#Totals],[Kwota PLN '[netto']]]),0)</f>
        <v>0</v>
      </c>
      <c r="F16" s="2"/>
      <c r="G16" s="27"/>
      <c r="H16" s="43">
        <f t="shared" si="0"/>
        <v>44937</v>
      </c>
      <c r="I16" s="42"/>
      <c r="J16" s="42"/>
      <c r="K16" s="42"/>
      <c r="L16" s="42"/>
      <c r="M16" s="44"/>
      <c r="N16" s="45" t="str">
        <f>IFERROR(Miesiac_1[[#This Row],[Stawka]]/(Miesiac_1[[#This Row],[Trasa '[km']]]+Miesiac_1[[#This Row],[Podjazd '[km']]]),"-")</f>
        <v>-</v>
      </c>
      <c r="O16" s="42"/>
      <c r="Q16" s="51" t="s">
        <v>94</v>
      </c>
      <c r="R16" s="55"/>
      <c r="S16" s="52"/>
    </row>
    <row r="17" spans="1:19" ht="15.75" x14ac:dyDescent="0.25">
      <c r="A17" s="54" t="str">
        <f>H432&amp;" "&amp;J432</f>
        <v>Grudzień 2023</v>
      </c>
      <c r="B17" s="35">
        <v>8000</v>
      </c>
      <c r="C17" s="86">
        <f>M467</f>
        <v>0</v>
      </c>
      <c r="D17" s="36">
        <f>L468</f>
        <v>0</v>
      </c>
      <c r="E17" s="37">
        <f>IFERROR(IF($B$2="EUR(€)",Koszty_12[[#Totals],[Kwota PLN '[netto']]]+(Koszty_12[[#Totals],[Kwota € '[netto']]]*VLOOKUP(A17,Wyniki!$D$5:$E$16,2,FALSE)),Koszty_12[[#Totals],[Kwota PLN '[netto']]]),0)</f>
        <v>0</v>
      </c>
      <c r="F17" s="2"/>
      <c r="G17" s="27"/>
      <c r="H17" s="43">
        <f t="shared" si="0"/>
        <v>44938</v>
      </c>
      <c r="I17" s="42"/>
      <c r="J17" s="42"/>
      <c r="K17" s="42"/>
      <c r="L17" s="42"/>
      <c r="M17" s="44"/>
      <c r="N17" s="45" t="str">
        <f>IFERROR(Miesiac_1[[#This Row],[Stawka]]/(Miesiac_1[[#This Row],[Trasa '[km']]]+Miesiac_1[[#This Row],[Podjazd '[km']]]),"-")</f>
        <v>-</v>
      </c>
      <c r="O17" s="42"/>
      <c r="Q17" s="51" t="s">
        <v>96</v>
      </c>
      <c r="R17" s="55"/>
      <c r="S17" s="52"/>
    </row>
    <row r="18" spans="1:19" ht="15.75" x14ac:dyDescent="0.25">
      <c r="A18" s="27"/>
      <c r="B18" s="27"/>
      <c r="C18" s="27"/>
      <c r="D18" s="27"/>
      <c r="E18" s="27"/>
      <c r="F18" s="27"/>
      <c r="G18" s="27"/>
      <c r="H18" s="43">
        <f t="shared" si="0"/>
        <v>44939</v>
      </c>
      <c r="I18" s="42"/>
      <c r="J18" s="42"/>
      <c r="K18" s="42"/>
      <c r="L18" s="42"/>
      <c r="M18" s="44"/>
      <c r="N18" s="45" t="str">
        <f>IFERROR(Miesiac_1[[#This Row],[Stawka]]/(Miesiac_1[[#This Row],[Trasa '[km']]]+Miesiac_1[[#This Row],[Podjazd '[km']]]),"-")</f>
        <v>-</v>
      </c>
      <c r="O18" s="42"/>
      <c r="Q18" s="51" t="s">
        <v>97</v>
      </c>
      <c r="R18" s="55"/>
      <c r="S18" s="52"/>
    </row>
    <row r="19" spans="1:19" ht="15.75" x14ac:dyDescent="0.25">
      <c r="A19" s="27"/>
      <c r="B19" s="27"/>
      <c r="C19" s="27"/>
      <c r="D19" s="27"/>
      <c r="E19" s="27"/>
      <c r="F19" s="27"/>
      <c r="G19" s="27"/>
      <c r="H19" s="43">
        <f t="shared" si="0"/>
        <v>44940</v>
      </c>
      <c r="I19" s="42"/>
      <c r="J19" s="42"/>
      <c r="K19" s="42"/>
      <c r="L19" s="42"/>
      <c r="M19" s="44"/>
      <c r="N19" s="45" t="str">
        <f>IFERROR(Miesiac_1[[#This Row],[Stawka]]/(Miesiac_1[[#This Row],[Trasa '[km']]]+Miesiac_1[[#This Row],[Podjazd '[km']]]),"-")</f>
        <v>-</v>
      </c>
      <c r="O19" s="42"/>
      <c r="Q19" s="51" t="s">
        <v>98</v>
      </c>
      <c r="R19" s="55"/>
      <c r="S19" s="52"/>
    </row>
    <row r="20" spans="1:19" ht="15.75" x14ac:dyDescent="0.25">
      <c r="A20" s="47"/>
      <c r="B20" s="48"/>
      <c r="C20" s="48"/>
      <c r="D20" s="48"/>
      <c r="E20" s="27"/>
      <c r="F20" s="27"/>
      <c r="G20" s="27"/>
      <c r="H20" s="43">
        <f t="shared" si="0"/>
        <v>44941</v>
      </c>
      <c r="I20" s="42"/>
      <c r="J20" s="42"/>
      <c r="K20" s="42"/>
      <c r="L20" s="42"/>
      <c r="M20" s="44"/>
      <c r="N20" s="45" t="str">
        <f>IFERROR(Miesiac_1[[#This Row],[Stawka]]/(Miesiac_1[[#This Row],[Trasa '[km']]]+Miesiac_1[[#This Row],[Podjazd '[km']]]),"-")</f>
        <v>-</v>
      </c>
      <c r="O20" s="42"/>
      <c r="Q20" s="51" t="s">
        <v>32</v>
      </c>
      <c r="R20" s="55"/>
      <c r="S20" s="52"/>
    </row>
    <row r="21" spans="1:19" ht="15.75" x14ac:dyDescent="0.25">
      <c r="A21" s="47"/>
      <c r="B21" s="48"/>
      <c r="C21" s="48"/>
      <c r="D21" s="48"/>
      <c r="E21" s="27"/>
      <c r="F21" s="27"/>
      <c r="G21" s="27"/>
      <c r="H21" s="43">
        <f t="shared" si="0"/>
        <v>44942</v>
      </c>
      <c r="I21" s="42"/>
      <c r="J21" s="42"/>
      <c r="K21" s="42"/>
      <c r="L21" s="42"/>
      <c r="M21" s="44"/>
      <c r="N21" s="45" t="str">
        <f>IFERROR(Miesiac_1[[#This Row],[Stawka]]/(Miesiac_1[[#This Row],[Trasa '[km']]]+Miesiac_1[[#This Row],[Podjazd '[km']]]),"-")</f>
        <v>-</v>
      </c>
      <c r="O21" s="42"/>
      <c r="Q21" s="51" t="s">
        <v>33</v>
      </c>
      <c r="R21" s="55"/>
      <c r="S21" s="52"/>
    </row>
    <row r="22" spans="1:19" ht="15.75" x14ac:dyDescent="0.25">
      <c r="A22" s="47"/>
      <c r="B22" s="48"/>
      <c r="C22" s="48"/>
      <c r="D22" s="48"/>
      <c r="E22" s="27"/>
      <c r="F22" s="27"/>
      <c r="G22" s="27"/>
      <c r="H22" s="43">
        <f t="shared" si="0"/>
        <v>44943</v>
      </c>
      <c r="I22" s="42"/>
      <c r="J22" s="42"/>
      <c r="K22" s="42"/>
      <c r="L22" s="42"/>
      <c r="M22" s="44"/>
      <c r="N22" s="45" t="str">
        <f>IFERROR(Miesiac_1[[#This Row],[Stawka]]/(Miesiac_1[[#This Row],[Trasa '[km']]]+Miesiac_1[[#This Row],[Podjazd '[km']]]),"-")</f>
        <v>-</v>
      </c>
      <c r="O22" s="42"/>
      <c r="Q22" s="51" t="s">
        <v>34</v>
      </c>
      <c r="R22" s="55"/>
      <c r="S22" s="52"/>
    </row>
    <row r="23" spans="1:19" ht="15.75" x14ac:dyDescent="0.25">
      <c r="A23" s="47"/>
      <c r="B23" s="48"/>
      <c r="C23" s="48"/>
      <c r="D23" s="48"/>
      <c r="E23" s="49"/>
      <c r="F23" s="49"/>
      <c r="G23" s="27"/>
      <c r="H23" s="43">
        <f t="shared" si="0"/>
        <v>44944</v>
      </c>
      <c r="I23" s="42"/>
      <c r="J23" s="42"/>
      <c r="K23" s="42"/>
      <c r="L23" s="42"/>
      <c r="M23" s="44"/>
      <c r="N23" s="45" t="str">
        <f>IFERROR(Miesiac_1[[#This Row],[Stawka]]/(Miesiac_1[[#This Row],[Trasa '[km']]]+Miesiac_1[[#This Row],[Podjazd '[km']]]),"-")</f>
        <v>-</v>
      </c>
      <c r="O23" s="42"/>
      <c r="Q23" s="51" t="s">
        <v>35</v>
      </c>
      <c r="R23" s="55"/>
      <c r="S23" s="52"/>
    </row>
    <row r="24" spans="1:19" ht="15.75" x14ac:dyDescent="0.25">
      <c r="A24" s="47"/>
      <c r="B24" s="48"/>
      <c r="C24" s="48"/>
      <c r="D24" s="48"/>
      <c r="E24" s="27"/>
      <c r="F24" s="27"/>
      <c r="G24" s="27"/>
      <c r="H24" s="43">
        <f t="shared" si="0"/>
        <v>44945</v>
      </c>
      <c r="I24" s="42"/>
      <c r="J24" s="42"/>
      <c r="K24" s="42"/>
      <c r="L24" s="42"/>
      <c r="M24" s="44"/>
      <c r="N24" s="45" t="str">
        <f>IFERROR(Miesiac_1[[#This Row],[Stawka]]/(Miesiac_1[[#This Row],[Trasa '[km']]]+Miesiac_1[[#This Row],[Podjazd '[km']]]),"-")</f>
        <v>-</v>
      </c>
      <c r="O24" s="42"/>
      <c r="Q24" s="51" t="s">
        <v>116</v>
      </c>
      <c r="R24" s="55"/>
      <c r="S24" s="52"/>
    </row>
    <row r="25" spans="1:19" ht="15.75" x14ac:dyDescent="0.25">
      <c r="A25" s="47"/>
      <c r="B25" s="48"/>
      <c r="C25" s="48"/>
      <c r="D25" s="48"/>
      <c r="E25" s="27"/>
      <c r="F25" s="27"/>
      <c r="G25" s="27"/>
      <c r="H25" s="43">
        <f t="shared" si="0"/>
        <v>44946</v>
      </c>
      <c r="I25" s="42"/>
      <c r="J25" s="42"/>
      <c r="K25" s="42"/>
      <c r="L25" s="42"/>
      <c r="M25" s="44"/>
      <c r="N25" s="45" t="str">
        <f>IFERROR(Miesiac_1[[#This Row],[Stawka]]/(Miesiac_1[[#This Row],[Trasa '[km']]]+Miesiac_1[[#This Row],[Podjazd '[km']]]),"-")</f>
        <v>-</v>
      </c>
      <c r="O25" s="42"/>
      <c r="Q25" s="51" t="s">
        <v>117</v>
      </c>
      <c r="R25" s="55"/>
      <c r="S25" s="52"/>
    </row>
    <row r="26" spans="1:19" ht="15.75" x14ac:dyDescent="0.25">
      <c r="A26" s="47"/>
      <c r="B26" s="48"/>
      <c r="C26" s="48"/>
      <c r="D26" s="48"/>
      <c r="E26" s="27"/>
      <c r="F26" s="27"/>
      <c r="G26" s="27"/>
      <c r="H26" s="43">
        <f t="shared" si="0"/>
        <v>44947</v>
      </c>
      <c r="I26" s="42"/>
      <c r="J26" s="42"/>
      <c r="K26" s="42"/>
      <c r="L26" s="42"/>
      <c r="M26" s="44"/>
      <c r="N26" s="45" t="str">
        <f>IFERROR(Miesiac_1[[#This Row],[Stawka]]/(Miesiac_1[[#This Row],[Trasa '[km']]]+Miesiac_1[[#This Row],[Podjazd '[km']]]),"-")</f>
        <v>-</v>
      </c>
      <c r="O26" s="42"/>
      <c r="Q26" s="51" t="s">
        <v>118</v>
      </c>
      <c r="R26" s="55"/>
      <c r="S26" s="52"/>
    </row>
    <row r="27" spans="1:19" ht="15.75" x14ac:dyDescent="0.25">
      <c r="A27" s="47"/>
      <c r="B27" s="48"/>
      <c r="C27" s="48"/>
      <c r="D27" s="48"/>
      <c r="E27" s="27"/>
      <c r="F27" s="27"/>
      <c r="G27" s="27"/>
      <c r="H27" s="43">
        <f t="shared" si="0"/>
        <v>44948</v>
      </c>
      <c r="I27" s="42"/>
      <c r="J27" s="42"/>
      <c r="K27" s="42"/>
      <c r="L27" s="42"/>
      <c r="M27" s="44"/>
      <c r="N27" s="45" t="str">
        <f>IFERROR(Miesiac_1[[#This Row],[Stawka]]/(Miesiac_1[[#This Row],[Trasa '[km']]]+Miesiac_1[[#This Row],[Podjazd '[km']]]),"-")</f>
        <v>-</v>
      </c>
      <c r="O27" s="42"/>
      <c r="Q27" s="51" t="s">
        <v>119</v>
      </c>
      <c r="R27" s="55"/>
      <c r="S27" s="52"/>
    </row>
    <row r="28" spans="1:19" ht="15.75" x14ac:dyDescent="0.25">
      <c r="A28" s="47"/>
      <c r="B28" s="48"/>
      <c r="C28" s="48"/>
      <c r="D28" s="48"/>
      <c r="E28" s="27"/>
      <c r="F28" s="27"/>
      <c r="G28" s="27"/>
      <c r="H28" s="43">
        <f t="shared" si="0"/>
        <v>44949</v>
      </c>
      <c r="I28" s="42"/>
      <c r="J28" s="42"/>
      <c r="K28" s="42"/>
      <c r="L28" s="42"/>
      <c r="M28" s="44"/>
      <c r="N28" s="45" t="str">
        <f>IFERROR(Miesiac_1[[#This Row],[Stawka]]/(Miesiac_1[[#This Row],[Trasa '[km']]]+Miesiac_1[[#This Row],[Podjazd '[km']]]),"-")</f>
        <v>-</v>
      </c>
      <c r="O28" s="42"/>
      <c r="Q28" s="51" t="s">
        <v>120</v>
      </c>
      <c r="R28" s="55"/>
      <c r="S28" s="52"/>
    </row>
    <row r="29" spans="1:19" ht="15.75" x14ac:dyDescent="0.25">
      <c r="A29" s="47"/>
      <c r="B29" s="48"/>
      <c r="C29" s="48"/>
      <c r="D29" s="48"/>
      <c r="E29" s="27"/>
      <c r="F29" s="27"/>
      <c r="G29" s="27"/>
      <c r="H29" s="43">
        <f t="shared" si="0"/>
        <v>44950</v>
      </c>
      <c r="I29" s="42"/>
      <c r="J29" s="42"/>
      <c r="K29" s="42"/>
      <c r="L29" s="42"/>
      <c r="M29" s="44"/>
      <c r="N29" s="45" t="str">
        <f>IFERROR(Miesiac_1[[#This Row],[Stawka]]/(Miesiac_1[[#This Row],[Trasa '[km']]]+Miesiac_1[[#This Row],[Podjazd '[km']]]),"-")</f>
        <v>-</v>
      </c>
      <c r="O29" s="42"/>
      <c r="Q29" s="51" t="s">
        <v>121</v>
      </c>
      <c r="R29" s="55"/>
      <c r="S29" s="52"/>
    </row>
    <row r="30" spans="1:19" ht="15.75" x14ac:dyDescent="0.25">
      <c r="A30" s="47"/>
      <c r="B30" s="48"/>
      <c r="C30" s="48"/>
      <c r="D30" s="48"/>
      <c r="E30" s="27"/>
      <c r="F30" s="27"/>
      <c r="G30" s="27"/>
      <c r="H30" s="43">
        <f t="shared" si="0"/>
        <v>44951</v>
      </c>
      <c r="I30" s="42"/>
      <c r="J30" s="42"/>
      <c r="K30" s="42"/>
      <c r="L30" s="42"/>
      <c r="M30" s="44"/>
      <c r="N30" s="45" t="str">
        <f>IFERROR(Miesiac_1[[#This Row],[Stawka]]/(Miesiac_1[[#This Row],[Trasa '[km']]]+Miesiac_1[[#This Row],[Podjazd '[km']]]),"-")</f>
        <v>-</v>
      </c>
      <c r="O30" s="42"/>
      <c r="Q30" s="51" t="s">
        <v>122</v>
      </c>
      <c r="R30" s="55"/>
      <c r="S30" s="52"/>
    </row>
    <row r="31" spans="1:19" ht="18.75" x14ac:dyDescent="0.3">
      <c r="A31" s="47"/>
      <c r="B31" s="48"/>
      <c r="C31" s="48"/>
      <c r="D31" s="48"/>
      <c r="E31" s="27"/>
      <c r="F31" s="27"/>
      <c r="G31" s="27"/>
      <c r="H31" s="43">
        <f t="shared" si="0"/>
        <v>44952</v>
      </c>
      <c r="I31" s="42"/>
      <c r="J31" s="42"/>
      <c r="K31" s="42"/>
      <c r="L31" s="42"/>
      <c r="M31" s="44"/>
      <c r="N31" s="45" t="str">
        <f>IFERROR(Miesiac_1[[#This Row],[Stawka]]/(Miesiac_1[[#This Row],[Trasa '[km']]]+Miesiac_1[[#This Row],[Podjazd '[km']]]),"-")</f>
        <v>-</v>
      </c>
      <c r="O31" s="42"/>
      <c r="Q31" s="28" t="s">
        <v>36</v>
      </c>
      <c r="R31" s="29">
        <f>SUBTOTAL(109,Koszty_1[Kwota PLN '[netto']])</f>
        <v>0</v>
      </c>
      <c r="S31" s="30">
        <f>SUBTOTAL(109,Koszty_1[Kwota € '[netto']])</f>
        <v>0</v>
      </c>
    </row>
    <row r="32" spans="1:19" ht="15.75" x14ac:dyDescent="0.25">
      <c r="A32" s="27"/>
      <c r="B32" s="27"/>
      <c r="C32" s="27"/>
      <c r="D32" s="27"/>
      <c r="E32" s="27"/>
      <c r="F32" s="27"/>
      <c r="G32" s="27"/>
      <c r="H32" s="43">
        <f t="shared" si="0"/>
        <v>44953</v>
      </c>
      <c r="I32" s="42"/>
      <c r="J32" s="42"/>
      <c r="K32" s="42"/>
      <c r="L32" s="42"/>
      <c r="M32" s="44"/>
      <c r="N32" s="45" t="str">
        <f>IFERROR(Miesiac_1[[#This Row],[Stawka]]/(Miesiac_1[[#This Row],[Trasa '[km']]]+Miesiac_1[[#This Row],[Podjazd '[km']]]),"-")</f>
        <v>-</v>
      </c>
      <c r="O32" s="42"/>
    </row>
    <row r="33" spans="1:19" ht="15.75" x14ac:dyDescent="0.25">
      <c r="A33" s="27"/>
      <c r="B33" s="27"/>
      <c r="C33" s="27"/>
      <c r="D33" s="27"/>
      <c r="E33" s="27"/>
      <c r="F33" s="27"/>
      <c r="G33" s="27"/>
      <c r="H33" s="50">
        <f>IF(H32&lt;&gt;"-",IF(MONTH(H32)=MONTH(H32+1),H32+1,"-"),"-")</f>
        <v>44954</v>
      </c>
      <c r="I33" s="42"/>
      <c r="J33" s="42"/>
      <c r="K33" s="42"/>
      <c r="L33" s="42"/>
      <c r="M33" s="44"/>
      <c r="N33" s="45" t="str">
        <f>IFERROR(Miesiac_1[[#This Row],[Stawka]]/(Miesiac_1[[#This Row],[Trasa '[km']]]+Miesiac_1[[#This Row],[Podjazd '[km']]]),"-")</f>
        <v>-</v>
      </c>
      <c r="O33" s="42"/>
    </row>
    <row r="34" spans="1:19" ht="15.75" x14ac:dyDescent="0.25">
      <c r="A34" s="27"/>
      <c r="B34" s="27"/>
      <c r="C34" s="27"/>
      <c r="D34" s="27"/>
      <c r="E34" s="27"/>
      <c r="F34" s="27"/>
      <c r="G34" s="27"/>
      <c r="H34" s="50">
        <f t="shared" ref="H34:H36" si="1">IF(H33&lt;&gt;"-",IF(MONTH(H33)=MONTH(H33+1),H33+1,"-"),"-")</f>
        <v>44955</v>
      </c>
      <c r="I34" s="42"/>
      <c r="J34" s="42"/>
      <c r="K34" s="42"/>
      <c r="L34" s="42"/>
      <c r="M34" s="44"/>
      <c r="N34" s="45" t="str">
        <f>IFERROR(Miesiac_1[[#This Row],[Stawka]]/(Miesiac_1[[#This Row],[Trasa '[km']]]+Miesiac_1[[#This Row],[Podjazd '[km']]]),"-")</f>
        <v>-</v>
      </c>
      <c r="O34" s="42"/>
    </row>
    <row r="35" spans="1:19" ht="15.75" x14ac:dyDescent="0.25">
      <c r="A35" s="27"/>
      <c r="B35" s="27"/>
      <c r="C35" s="27"/>
      <c r="D35" s="27"/>
      <c r="E35" s="27"/>
      <c r="F35" s="27"/>
      <c r="G35" s="27"/>
      <c r="H35" s="50">
        <f t="shared" si="1"/>
        <v>44956</v>
      </c>
      <c r="I35" s="42"/>
      <c r="J35" s="42"/>
      <c r="K35" s="42"/>
      <c r="L35" s="42"/>
      <c r="M35" s="44"/>
      <c r="N35" s="45" t="str">
        <f>IFERROR(Miesiac_1[[#This Row],[Stawka]]/(Miesiac_1[[#This Row],[Trasa '[km']]]+Miesiac_1[[#This Row],[Podjazd '[km']]]),"-")</f>
        <v>-</v>
      </c>
      <c r="O35" s="42"/>
    </row>
    <row r="36" spans="1:19" ht="15.75" x14ac:dyDescent="0.25">
      <c r="A36" s="27"/>
      <c r="B36" s="27"/>
      <c r="C36" s="27"/>
      <c r="D36" s="27"/>
      <c r="E36" s="27"/>
      <c r="F36" s="27"/>
      <c r="G36" s="27"/>
      <c r="H36" s="50">
        <f t="shared" si="1"/>
        <v>44957</v>
      </c>
      <c r="I36" s="51"/>
      <c r="J36" s="51"/>
      <c r="K36" s="51"/>
      <c r="L36" s="51"/>
      <c r="M36" s="52"/>
      <c r="N36" s="53" t="str">
        <f>IFERROR(Miesiac_1[[#This Row],[Stawka]]/(Miesiac_1[[#This Row],[Trasa '[km']]]+Miesiac_1[[#This Row],[Podjazd '[km']]]),"-")</f>
        <v>-</v>
      </c>
      <c r="O36" s="51"/>
      <c r="Q36" s="31" t="s">
        <v>89</v>
      </c>
      <c r="R36" s="32"/>
      <c r="S36" s="33" t="s">
        <v>90</v>
      </c>
    </row>
    <row r="37" spans="1:19" ht="15.75" x14ac:dyDescent="0.25">
      <c r="Q37" s="31" t="s">
        <v>91</v>
      </c>
      <c r="R37" s="33"/>
      <c r="S37" s="33" t="s">
        <v>90</v>
      </c>
    </row>
    <row r="38" spans="1:19" ht="19.5" thickBot="1" x14ac:dyDescent="0.35">
      <c r="J38" s="80" t="s">
        <v>55</v>
      </c>
      <c r="K38" s="80">
        <f>SUM(Miesiac_1[Podjazd '[km']])</f>
        <v>0</v>
      </c>
      <c r="L38" s="80">
        <f>SUM(Miesiac_1[Trasa '[km']])</f>
        <v>0</v>
      </c>
      <c r="M38" s="81">
        <f>SUM(Miesiac_1[Stawka])</f>
        <v>0</v>
      </c>
      <c r="N38" s="82" t="str">
        <f>IFERROR(M38/(L38+K38),"-")</f>
        <v>-</v>
      </c>
      <c r="Q38" s="84" t="s">
        <v>92</v>
      </c>
      <c r="R38" s="85">
        <f>R37-R36</f>
        <v>0</v>
      </c>
      <c r="S38" s="85" t="s">
        <v>90</v>
      </c>
    </row>
    <row r="39" spans="1:19" ht="21.75" thickBot="1" x14ac:dyDescent="0.4">
      <c r="J39" s="80" t="s">
        <v>56</v>
      </c>
      <c r="K39" s="83"/>
      <c r="L39" s="149">
        <f>M38/B6</f>
        <v>0</v>
      </c>
      <c r="M39" s="149"/>
      <c r="N39" s="149"/>
      <c r="Q39" s="88" t="s">
        <v>110</v>
      </c>
      <c r="R39" s="89" t="str">
        <f>IFERROR(M38/R38,"-")</f>
        <v>-</v>
      </c>
      <c r="S39" s="90"/>
    </row>
    <row r="40" spans="1:19" x14ac:dyDescent="0.25">
      <c r="M40" s="5"/>
    </row>
    <row r="41" spans="1:19" ht="15.75" thickBot="1" x14ac:dyDescent="0.3"/>
    <row r="42" spans="1:19" ht="24" thickBot="1" x14ac:dyDescent="0.4">
      <c r="H42" s="150" t="s">
        <v>7</v>
      </c>
      <c r="I42" s="151"/>
      <c r="J42" s="120">
        <v>2023</v>
      </c>
    </row>
    <row r="43" spans="1:19" x14ac:dyDescent="0.25">
      <c r="H43" s="7">
        <f>MATCH($H42,{"styczeń";"luty";"marzec";"kwiecień";"maj";"czerwiec";"lipiec";"sierpień";"wrzesień";"październik";"listopad";"grudzień"},0)</f>
        <v>2</v>
      </c>
    </row>
    <row r="44" spans="1:19" s="27" customFormat="1" ht="35.1" customHeight="1" x14ac:dyDescent="0.25">
      <c r="H44" s="77" t="s">
        <v>0</v>
      </c>
      <c r="I44" s="77" t="s">
        <v>1</v>
      </c>
      <c r="J44" s="77" t="s">
        <v>2</v>
      </c>
      <c r="K44" s="77" t="s">
        <v>4</v>
      </c>
      <c r="L44" s="77" t="s">
        <v>3</v>
      </c>
      <c r="M44" s="77" t="s">
        <v>114</v>
      </c>
      <c r="N44" s="77" t="s">
        <v>115</v>
      </c>
      <c r="O44" s="78" t="s">
        <v>19</v>
      </c>
      <c r="Q44" s="77" t="s">
        <v>93</v>
      </c>
      <c r="R44" s="77" t="s">
        <v>49</v>
      </c>
      <c r="S44" s="77" t="s">
        <v>48</v>
      </c>
    </row>
    <row r="45" spans="1:19" s="27" customFormat="1" ht="15.75" x14ac:dyDescent="0.25">
      <c r="H45" s="38">
        <f>DATE(J42,H43,1)</f>
        <v>44958</v>
      </c>
      <c r="I45" s="39"/>
      <c r="J45" s="39"/>
      <c r="K45" s="39"/>
      <c r="L45" s="39"/>
      <c r="M45" s="40"/>
      <c r="N45" s="41" t="str">
        <f>IFERROR(Miesiac_153[[#This Row],[Stawka]]/(Miesiac_153[[#This Row],[Trasa '[km']]]+Miesiac_153[[#This Row],[Podjazd '[km']]]),"-")</f>
        <v>-</v>
      </c>
      <c r="O45" s="42"/>
      <c r="Q45" s="51" t="s">
        <v>53</v>
      </c>
      <c r="R45" s="55"/>
      <c r="S45" s="52"/>
    </row>
    <row r="46" spans="1:19" s="27" customFormat="1" ht="15.75" x14ac:dyDescent="0.25">
      <c r="H46" s="43">
        <f>H45+1</f>
        <v>44959</v>
      </c>
      <c r="I46" s="42"/>
      <c r="J46" s="42"/>
      <c r="K46" s="42"/>
      <c r="L46" s="42"/>
      <c r="M46" s="44"/>
      <c r="N46" s="45" t="str">
        <f>IFERROR(Miesiac_153[[#This Row],[Stawka]]/(Miesiac_153[[#This Row],[Trasa '[km']]]+Miesiac_153[[#This Row],[Podjazd '[km']]]),"-")</f>
        <v>-</v>
      </c>
      <c r="O46" s="46"/>
      <c r="Q46" s="51" t="s">
        <v>54</v>
      </c>
      <c r="R46" s="55"/>
      <c r="S46" s="52"/>
    </row>
    <row r="47" spans="1:19" s="27" customFormat="1" ht="15.75" x14ac:dyDescent="0.25">
      <c r="H47" s="43">
        <f t="shared" ref="H47:H71" si="2">H46+1</f>
        <v>44960</v>
      </c>
      <c r="I47" s="42"/>
      <c r="J47" s="42"/>
      <c r="K47" s="42"/>
      <c r="L47" s="42"/>
      <c r="M47" s="44"/>
      <c r="N47" s="45" t="str">
        <f>IFERROR(Miesiac_153[[#This Row],[Stawka]]/(Miesiac_153[[#This Row],[Trasa '[km']]]+Miesiac_153[[#This Row],[Podjazd '[km']]]),"-")</f>
        <v>-</v>
      </c>
      <c r="O47" s="42"/>
      <c r="Q47" s="51" t="s">
        <v>37</v>
      </c>
      <c r="R47" s="55"/>
      <c r="S47" s="52"/>
    </row>
    <row r="48" spans="1:19" s="27" customFormat="1" ht="15.75" x14ac:dyDescent="0.25">
      <c r="H48" s="43">
        <f t="shared" si="2"/>
        <v>44961</v>
      </c>
      <c r="I48" s="42"/>
      <c r="J48" s="42"/>
      <c r="K48" s="42"/>
      <c r="L48" s="42"/>
      <c r="M48" s="44"/>
      <c r="N48" s="45" t="str">
        <f>IFERROR(Miesiac_153[[#This Row],[Stawka]]/(Miesiac_153[[#This Row],[Trasa '[km']]]+Miesiac_153[[#This Row],[Podjazd '[km']]]),"-")</f>
        <v>-</v>
      </c>
      <c r="O48" s="39"/>
      <c r="Q48" s="51" t="s">
        <v>43</v>
      </c>
      <c r="R48" s="55"/>
      <c r="S48" s="52"/>
    </row>
    <row r="49" spans="8:19" s="27" customFormat="1" ht="15.75" x14ac:dyDescent="0.25">
      <c r="H49" s="43">
        <f t="shared" si="2"/>
        <v>44962</v>
      </c>
      <c r="I49" s="42"/>
      <c r="J49" s="42"/>
      <c r="K49" s="42"/>
      <c r="L49" s="42"/>
      <c r="M49" s="44"/>
      <c r="N49" s="45" t="str">
        <f>IFERROR(Miesiac_153[[#This Row],[Stawka]]/(Miesiac_153[[#This Row],[Trasa '[km']]]+Miesiac_153[[#This Row],[Podjazd '[km']]]),"-")</f>
        <v>-</v>
      </c>
      <c r="O49" s="39"/>
      <c r="Q49" s="51" t="s">
        <v>57</v>
      </c>
      <c r="R49" s="55"/>
      <c r="S49" s="52"/>
    </row>
    <row r="50" spans="8:19" s="27" customFormat="1" ht="15.75" x14ac:dyDescent="0.25">
      <c r="H50" s="43">
        <f t="shared" si="2"/>
        <v>44963</v>
      </c>
      <c r="I50" s="42"/>
      <c r="J50" s="42"/>
      <c r="K50" s="42"/>
      <c r="L50" s="42"/>
      <c r="M50" s="44"/>
      <c r="N50" s="45" t="str">
        <f>IFERROR(Miesiac_153[[#This Row],[Stawka]]/(Miesiac_153[[#This Row],[Trasa '[km']]]+Miesiac_153[[#This Row],[Podjazd '[km']]]),"-")</f>
        <v>-</v>
      </c>
      <c r="O50" s="42"/>
      <c r="Q50" s="51" t="s">
        <v>58</v>
      </c>
      <c r="R50" s="55"/>
      <c r="S50" s="52"/>
    </row>
    <row r="51" spans="8:19" s="27" customFormat="1" ht="15.75" x14ac:dyDescent="0.25">
      <c r="H51" s="43">
        <f t="shared" si="2"/>
        <v>44964</v>
      </c>
      <c r="I51" s="42"/>
      <c r="J51" s="42"/>
      <c r="K51" s="42"/>
      <c r="L51" s="42"/>
      <c r="M51" s="44"/>
      <c r="N51" s="45" t="str">
        <f>IFERROR(Miesiac_153[[#This Row],[Stawka]]/(Miesiac_153[[#This Row],[Trasa '[km']]]+Miesiac_153[[#This Row],[Podjazd '[km']]]),"-")</f>
        <v>-</v>
      </c>
      <c r="O51" s="42"/>
      <c r="Q51" s="51" t="s">
        <v>51</v>
      </c>
      <c r="R51" s="55"/>
      <c r="S51" s="52"/>
    </row>
    <row r="52" spans="8:19" s="27" customFormat="1" ht="15.75" x14ac:dyDescent="0.25">
      <c r="H52" s="43">
        <f t="shared" si="2"/>
        <v>44965</v>
      </c>
      <c r="I52" s="42"/>
      <c r="J52" s="42"/>
      <c r="K52" s="42"/>
      <c r="L52" s="42"/>
      <c r="M52" s="44"/>
      <c r="N52" s="45" t="str">
        <f>IFERROR(Miesiac_153[[#This Row],[Stawka]]/(Miesiac_153[[#This Row],[Trasa '[km']]]+Miesiac_153[[#This Row],[Podjazd '[km']]]),"-")</f>
        <v>-</v>
      </c>
      <c r="O52" s="42"/>
      <c r="Q52" s="51" t="s">
        <v>95</v>
      </c>
      <c r="R52" s="55"/>
      <c r="S52" s="52"/>
    </row>
    <row r="53" spans="8:19" s="27" customFormat="1" ht="15.75" x14ac:dyDescent="0.25">
      <c r="H53" s="43">
        <f t="shared" si="2"/>
        <v>44966</v>
      </c>
      <c r="I53" s="42"/>
      <c r="J53" s="42"/>
      <c r="K53" s="42"/>
      <c r="L53" s="42"/>
      <c r="M53" s="44"/>
      <c r="N53" s="45" t="str">
        <f>IFERROR(Miesiac_153[[#This Row],[Stawka]]/(Miesiac_153[[#This Row],[Trasa '[km']]]+Miesiac_153[[#This Row],[Podjazd '[km']]]),"-")</f>
        <v>-</v>
      </c>
      <c r="O53" s="42"/>
      <c r="Q53" s="51" t="s">
        <v>50</v>
      </c>
      <c r="R53" s="55"/>
      <c r="S53" s="52"/>
    </row>
    <row r="54" spans="8:19" s="27" customFormat="1" ht="15.75" x14ac:dyDescent="0.25">
      <c r="H54" s="43">
        <f t="shared" si="2"/>
        <v>44967</v>
      </c>
      <c r="I54" s="42"/>
      <c r="J54" s="42"/>
      <c r="K54" s="42"/>
      <c r="L54" s="42"/>
      <c r="M54" s="44"/>
      <c r="N54" s="45" t="str">
        <f>IFERROR(Miesiac_153[[#This Row],[Stawka]]/(Miesiac_153[[#This Row],[Trasa '[km']]]+Miesiac_153[[#This Row],[Podjazd '[km']]]),"-")</f>
        <v>-</v>
      </c>
      <c r="O54" s="42"/>
      <c r="Q54" s="51" t="s">
        <v>52</v>
      </c>
      <c r="R54" s="55"/>
      <c r="S54" s="52"/>
    </row>
    <row r="55" spans="8:19" s="27" customFormat="1" ht="15.75" x14ac:dyDescent="0.25">
      <c r="H55" s="43">
        <f t="shared" si="2"/>
        <v>44968</v>
      </c>
      <c r="I55" s="42"/>
      <c r="J55" s="42"/>
      <c r="K55" s="42"/>
      <c r="L55" s="42"/>
      <c r="M55" s="44"/>
      <c r="N55" s="45" t="str">
        <f>IFERROR(Miesiac_153[[#This Row],[Stawka]]/(Miesiac_153[[#This Row],[Trasa '[km']]]+Miesiac_153[[#This Row],[Podjazd '[km']]]),"-")</f>
        <v>-</v>
      </c>
      <c r="O55" s="42"/>
      <c r="Q55" s="51" t="s">
        <v>94</v>
      </c>
      <c r="R55" s="55"/>
      <c r="S55" s="52"/>
    </row>
    <row r="56" spans="8:19" s="27" customFormat="1" ht="15.75" x14ac:dyDescent="0.25">
      <c r="H56" s="43">
        <f t="shared" si="2"/>
        <v>44969</v>
      </c>
      <c r="I56" s="42"/>
      <c r="J56" s="42"/>
      <c r="K56" s="42"/>
      <c r="L56" s="42"/>
      <c r="M56" s="44"/>
      <c r="N56" s="45" t="str">
        <f>IFERROR(Miesiac_153[[#This Row],[Stawka]]/(Miesiac_153[[#This Row],[Trasa '[km']]]+Miesiac_153[[#This Row],[Podjazd '[km']]]),"-")</f>
        <v>-</v>
      </c>
      <c r="O56" s="42"/>
      <c r="Q56" s="51" t="s">
        <v>96</v>
      </c>
      <c r="R56" s="55"/>
      <c r="S56" s="52"/>
    </row>
    <row r="57" spans="8:19" s="27" customFormat="1" ht="15.75" x14ac:dyDescent="0.25">
      <c r="H57" s="43">
        <f t="shared" si="2"/>
        <v>44970</v>
      </c>
      <c r="I57" s="42"/>
      <c r="J57" s="42"/>
      <c r="K57" s="42"/>
      <c r="L57" s="42"/>
      <c r="M57" s="44"/>
      <c r="N57" s="45" t="str">
        <f>IFERROR(Miesiac_153[[#This Row],[Stawka]]/(Miesiac_153[[#This Row],[Trasa '[km']]]+Miesiac_153[[#This Row],[Podjazd '[km']]]),"-")</f>
        <v>-</v>
      </c>
      <c r="O57" s="42"/>
      <c r="Q57" s="51" t="s">
        <v>97</v>
      </c>
      <c r="R57" s="55"/>
      <c r="S57" s="52"/>
    </row>
    <row r="58" spans="8:19" s="27" customFormat="1" ht="15.75" x14ac:dyDescent="0.25">
      <c r="H58" s="43">
        <f t="shared" si="2"/>
        <v>44971</v>
      </c>
      <c r="I58" s="42"/>
      <c r="J58" s="42"/>
      <c r="K58" s="42"/>
      <c r="L58" s="42"/>
      <c r="M58" s="44"/>
      <c r="N58" s="45" t="str">
        <f>IFERROR(Miesiac_153[[#This Row],[Stawka]]/(Miesiac_153[[#This Row],[Trasa '[km']]]+Miesiac_153[[#This Row],[Podjazd '[km']]]),"-")</f>
        <v>-</v>
      </c>
      <c r="O58" s="42"/>
      <c r="Q58" s="51" t="s">
        <v>98</v>
      </c>
      <c r="R58" s="55"/>
      <c r="S58" s="52"/>
    </row>
    <row r="59" spans="8:19" s="27" customFormat="1" ht="15.75" x14ac:dyDescent="0.25">
      <c r="H59" s="43">
        <f t="shared" si="2"/>
        <v>44972</v>
      </c>
      <c r="I59" s="42"/>
      <c r="J59" s="42"/>
      <c r="K59" s="42"/>
      <c r="L59" s="42"/>
      <c r="M59" s="44"/>
      <c r="N59" s="45" t="str">
        <f>IFERROR(Miesiac_153[[#This Row],[Stawka]]/(Miesiac_153[[#This Row],[Trasa '[km']]]+Miesiac_153[[#This Row],[Podjazd '[km']]]),"-")</f>
        <v>-</v>
      </c>
      <c r="O59" s="42"/>
      <c r="Q59" s="51" t="s">
        <v>32</v>
      </c>
      <c r="R59" s="55"/>
      <c r="S59" s="52"/>
    </row>
    <row r="60" spans="8:19" s="27" customFormat="1" ht="15.75" x14ac:dyDescent="0.25">
      <c r="H60" s="43">
        <f t="shared" si="2"/>
        <v>44973</v>
      </c>
      <c r="I60" s="42"/>
      <c r="J60" s="42"/>
      <c r="K60" s="42"/>
      <c r="L60" s="42"/>
      <c r="M60" s="44"/>
      <c r="N60" s="45" t="str">
        <f>IFERROR(Miesiac_153[[#This Row],[Stawka]]/(Miesiac_153[[#This Row],[Trasa '[km']]]+Miesiac_153[[#This Row],[Podjazd '[km']]]),"-")</f>
        <v>-</v>
      </c>
      <c r="O60" s="42"/>
      <c r="Q60" s="51" t="s">
        <v>33</v>
      </c>
      <c r="R60" s="55"/>
      <c r="S60" s="52"/>
    </row>
    <row r="61" spans="8:19" s="27" customFormat="1" ht="15.75" x14ac:dyDescent="0.25">
      <c r="H61" s="43">
        <f t="shared" si="2"/>
        <v>44974</v>
      </c>
      <c r="I61" s="42"/>
      <c r="J61" s="42"/>
      <c r="K61" s="42"/>
      <c r="L61" s="42"/>
      <c r="M61" s="44"/>
      <c r="N61" s="45" t="str">
        <f>IFERROR(Miesiac_153[[#This Row],[Stawka]]/(Miesiac_153[[#This Row],[Trasa '[km']]]+Miesiac_153[[#This Row],[Podjazd '[km']]]),"-")</f>
        <v>-</v>
      </c>
      <c r="O61" s="42"/>
      <c r="Q61" s="51" t="s">
        <v>34</v>
      </c>
      <c r="R61" s="55"/>
      <c r="S61" s="52"/>
    </row>
    <row r="62" spans="8:19" s="27" customFormat="1" ht="15.75" x14ac:dyDescent="0.25">
      <c r="H62" s="43">
        <f t="shared" si="2"/>
        <v>44975</v>
      </c>
      <c r="I62" s="42"/>
      <c r="J62" s="42"/>
      <c r="K62" s="42"/>
      <c r="L62" s="42"/>
      <c r="M62" s="44"/>
      <c r="N62" s="45" t="str">
        <f>IFERROR(Miesiac_153[[#This Row],[Stawka]]/(Miesiac_153[[#This Row],[Trasa '[km']]]+Miesiac_153[[#This Row],[Podjazd '[km']]]),"-")</f>
        <v>-</v>
      </c>
      <c r="O62" s="42"/>
      <c r="Q62" s="51" t="s">
        <v>35</v>
      </c>
      <c r="R62" s="55"/>
      <c r="S62" s="52"/>
    </row>
    <row r="63" spans="8:19" s="27" customFormat="1" ht="15.75" x14ac:dyDescent="0.25">
      <c r="H63" s="43">
        <f t="shared" si="2"/>
        <v>44976</v>
      </c>
      <c r="I63" s="42"/>
      <c r="J63" s="42"/>
      <c r="K63" s="42"/>
      <c r="L63" s="42"/>
      <c r="M63" s="44"/>
      <c r="N63" s="45" t="str">
        <f>IFERROR(Miesiac_153[[#This Row],[Stawka]]/(Miesiac_153[[#This Row],[Trasa '[km']]]+Miesiac_153[[#This Row],[Podjazd '[km']]]),"-")</f>
        <v>-</v>
      </c>
      <c r="O63" s="42"/>
      <c r="Q63" s="51" t="s">
        <v>116</v>
      </c>
      <c r="R63" s="55"/>
      <c r="S63" s="52"/>
    </row>
    <row r="64" spans="8:19" s="27" customFormat="1" ht="15.75" x14ac:dyDescent="0.25">
      <c r="H64" s="43">
        <f t="shared" si="2"/>
        <v>44977</v>
      </c>
      <c r="I64" s="42"/>
      <c r="J64" s="42"/>
      <c r="K64" s="42"/>
      <c r="L64" s="42"/>
      <c r="M64" s="44"/>
      <c r="N64" s="45" t="str">
        <f>IFERROR(Miesiac_153[[#This Row],[Stawka]]/(Miesiac_153[[#This Row],[Trasa '[km']]]+Miesiac_153[[#This Row],[Podjazd '[km']]]),"-")</f>
        <v>-</v>
      </c>
      <c r="O64" s="42"/>
      <c r="Q64" s="51" t="s">
        <v>117</v>
      </c>
      <c r="R64" s="55"/>
      <c r="S64" s="52"/>
    </row>
    <row r="65" spans="8:19" s="27" customFormat="1" ht="15.75" x14ac:dyDescent="0.25">
      <c r="H65" s="43">
        <f t="shared" si="2"/>
        <v>44978</v>
      </c>
      <c r="I65" s="42"/>
      <c r="J65" s="42"/>
      <c r="K65" s="42"/>
      <c r="L65" s="42"/>
      <c r="M65" s="44"/>
      <c r="N65" s="45" t="str">
        <f>IFERROR(Miesiac_153[[#This Row],[Stawka]]/(Miesiac_153[[#This Row],[Trasa '[km']]]+Miesiac_153[[#This Row],[Podjazd '[km']]]),"-")</f>
        <v>-</v>
      </c>
      <c r="O65" s="42"/>
      <c r="Q65" s="51" t="s">
        <v>118</v>
      </c>
      <c r="R65" s="55"/>
      <c r="S65" s="52"/>
    </row>
    <row r="66" spans="8:19" s="27" customFormat="1" ht="15.75" x14ac:dyDescent="0.25">
      <c r="H66" s="43">
        <f t="shared" si="2"/>
        <v>44979</v>
      </c>
      <c r="I66" s="42"/>
      <c r="J66" s="42"/>
      <c r="K66" s="42"/>
      <c r="L66" s="42"/>
      <c r="M66" s="44"/>
      <c r="N66" s="45" t="str">
        <f>IFERROR(Miesiac_153[[#This Row],[Stawka]]/(Miesiac_153[[#This Row],[Trasa '[km']]]+Miesiac_153[[#This Row],[Podjazd '[km']]]),"-")</f>
        <v>-</v>
      </c>
      <c r="O66" s="42"/>
      <c r="Q66" s="51" t="s">
        <v>119</v>
      </c>
      <c r="R66" s="55"/>
      <c r="S66" s="52"/>
    </row>
    <row r="67" spans="8:19" s="27" customFormat="1" ht="15.75" x14ac:dyDescent="0.25">
      <c r="H67" s="43">
        <f t="shared" si="2"/>
        <v>44980</v>
      </c>
      <c r="I67" s="42"/>
      <c r="J67" s="42"/>
      <c r="K67" s="42"/>
      <c r="L67" s="42"/>
      <c r="M67" s="44"/>
      <c r="N67" s="45" t="str">
        <f>IFERROR(Miesiac_153[[#This Row],[Stawka]]/(Miesiac_153[[#This Row],[Trasa '[km']]]+Miesiac_153[[#This Row],[Podjazd '[km']]]),"-")</f>
        <v>-</v>
      </c>
      <c r="O67" s="42"/>
      <c r="Q67" s="51" t="s">
        <v>120</v>
      </c>
      <c r="R67" s="55"/>
      <c r="S67" s="52"/>
    </row>
    <row r="68" spans="8:19" s="27" customFormat="1" ht="15.75" x14ac:dyDescent="0.25">
      <c r="H68" s="43">
        <f t="shared" si="2"/>
        <v>44981</v>
      </c>
      <c r="I68" s="42"/>
      <c r="J68" s="42"/>
      <c r="K68" s="42"/>
      <c r="L68" s="42"/>
      <c r="M68" s="44"/>
      <c r="N68" s="45" t="str">
        <f>IFERROR(Miesiac_153[[#This Row],[Stawka]]/(Miesiac_153[[#This Row],[Trasa '[km']]]+Miesiac_153[[#This Row],[Podjazd '[km']]]),"-")</f>
        <v>-</v>
      </c>
      <c r="O68" s="42"/>
      <c r="Q68" s="51" t="s">
        <v>121</v>
      </c>
      <c r="R68" s="55"/>
      <c r="S68" s="52"/>
    </row>
    <row r="69" spans="8:19" s="27" customFormat="1" ht="15.75" x14ac:dyDescent="0.25">
      <c r="H69" s="43">
        <f t="shared" si="2"/>
        <v>44982</v>
      </c>
      <c r="I69" s="42"/>
      <c r="J69" s="42"/>
      <c r="K69" s="42"/>
      <c r="L69" s="42"/>
      <c r="M69" s="44"/>
      <c r="N69" s="45" t="str">
        <f>IFERROR(Miesiac_153[[#This Row],[Stawka]]/(Miesiac_153[[#This Row],[Trasa '[km']]]+Miesiac_153[[#This Row],[Podjazd '[km']]]),"-")</f>
        <v>-</v>
      </c>
      <c r="O69" s="42"/>
      <c r="Q69" s="51" t="s">
        <v>122</v>
      </c>
      <c r="R69" s="55"/>
      <c r="S69" s="52"/>
    </row>
    <row r="70" spans="8:19" s="27" customFormat="1" ht="18.75" x14ac:dyDescent="0.3">
      <c r="H70" s="43">
        <f t="shared" si="2"/>
        <v>44983</v>
      </c>
      <c r="I70" s="42"/>
      <c r="J70" s="42"/>
      <c r="K70" s="42"/>
      <c r="L70" s="42"/>
      <c r="M70" s="44"/>
      <c r="N70" s="45" t="str">
        <f>IFERROR(Miesiac_153[[#This Row],[Stawka]]/(Miesiac_153[[#This Row],[Trasa '[km']]]+Miesiac_153[[#This Row],[Podjazd '[km']]]),"-")</f>
        <v>-</v>
      </c>
      <c r="O70" s="42"/>
      <c r="Q70" s="28" t="s">
        <v>36</v>
      </c>
      <c r="R70" s="29">
        <f>SUBTOTAL(109,Koszty_2[Kwota PLN '[netto']])</f>
        <v>0</v>
      </c>
      <c r="S70" s="30">
        <f>SUBTOTAL(109,Koszty_2[Kwota € '[netto']])</f>
        <v>0</v>
      </c>
    </row>
    <row r="71" spans="8:19" s="27" customFormat="1" ht="15.75" x14ac:dyDescent="0.25">
      <c r="H71" s="43">
        <f t="shared" si="2"/>
        <v>44984</v>
      </c>
      <c r="I71" s="42"/>
      <c r="J71" s="42"/>
      <c r="K71" s="42"/>
      <c r="L71" s="42"/>
      <c r="M71" s="44"/>
      <c r="N71" s="45" t="str">
        <f>IFERROR(Miesiac_153[[#This Row],[Stawka]]/(Miesiac_153[[#This Row],[Trasa '[km']]]+Miesiac_153[[#This Row],[Podjazd '[km']]]),"-")</f>
        <v>-</v>
      </c>
      <c r="O71" s="42"/>
      <c r="Q71" s="1"/>
      <c r="R71" s="1"/>
      <c r="S71" s="1"/>
    </row>
    <row r="72" spans="8:19" s="27" customFormat="1" ht="15.75" x14ac:dyDescent="0.25">
      <c r="H72" s="50">
        <f>IF(H71&lt;&gt;"-",IF(MONTH(H71)=MONTH(H71+1),H71+1,"-"),"-")</f>
        <v>44985</v>
      </c>
      <c r="I72" s="42"/>
      <c r="J72" s="42"/>
      <c r="K72" s="42"/>
      <c r="L72" s="42"/>
      <c r="M72" s="44"/>
      <c r="N72" s="45" t="str">
        <f>IFERROR(Miesiac_153[[#This Row],[Stawka]]/(Miesiac_153[[#This Row],[Trasa '[km']]]+Miesiac_153[[#This Row],[Podjazd '[km']]]),"-")</f>
        <v>-</v>
      </c>
      <c r="O72" s="42"/>
      <c r="Q72" s="1"/>
      <c r="R72" s="1"/>
      <c r="S72" s="1"/>
    </row>
    <row r="73" spans="8:19" s="27" customFormat="1" ht="15.75" x14ac:dyDescent="0.25">
      <c r="H73" s="50" t="str">
        <f t="shared" ref="H73:H75" si="3">IF(H72&lt;&gt;"-",IF(MONTH(H72)=MONTH(H72+1),H72+1,"-"),"-")</f>
        <v>-</v>
      </c>
      <c r="I73" s="42"/>
      <c r="J73" s="42"/>
      <c r="K73" s="42"/>
      <c r="L73" s="42"/>
      <c r="M73" s="44"/>
      <c r="N73" s="45" t="str">
        <f>IFERROR(Miesiac_153[[#This Row],[Stawka]]/(Miesiac_153[[#This Row],[Trasa '[km']]]+Miesiac_153[[#This Row],[Podjazd '[km']]]),"-")</f>
        <v>-</v>
      </c>
      <c r="O73" s="42"/>
      <c r="Q73" s="1"/>
      <c r="R73" s="1"/>
      <c r="S73" s="1"/>
    </row>
    <row r="74" spans="8:19" s="27" customFormat="1" ht="15.75" x14ac:dyDescent="0.25">
      <c r="H74" s="50" t="str">
        <f t="shared" si="3"/>
        <v>-</v>
      </c>
      <c r="I74" s="42"/>
      <c r="J74" s="42"/>
      <c r="K74" s="42"/>
      <c r="L74" s="42"/>
      <c r="M74" s="44"/>
      <c r="N74" s="45" t="str">
        <f>IFERROR(Miesiac_153[[#This Row],[Stawka]]/(Miesiac_153[[#This Row],[Trasa '[km']]]+Miesiac_153[[#This Row],[Podjazd '[km']]]),"-")</f>
        <v>-</v>
      </c>
      <c r="O74" s="42"/>
      <c r="Q74" s="1"/>
      <c r="R74" s="1"/>
      <c r="S74" s="1"/>
    </row>
    <row r="75" spans="8:19" s="27" customFormat="1" ht="15.75" x14ac:dyDescent="0.25">
      <c r="H75" s="50" t="str">
        <f t="shared" si="3"/>
        <v>-</v>
      </c>
      <c r="I75" s="51"/>
      <c r="J75" s="51"/>
      <c r="K75" s="51"/>
      <c r="L75" s="51"/>
      <c r="M75" s="52"/>
      <c r="N75" s="53" t="str">
        <f>IFERROR(Miesiac_153[[#This Row],[Stawka]]/(Miesiac_153[[#This Row],[Trasa '[km']]]+Miesiac_153[[#This Row],[Podjazd '[km']]]),"-")</f>
        <v>-</v>
      </c>
      <c r="O75" s="51"/>
      <c r="Q75" s="31" t="s">
        <v>89</v>
      </c>
      <c r="R75" s="32"/>
      <c r="S75" s="33" t="s">
        <v>90</v>
      </c>
    </row>
    <row r="76" spans="8:19" ht="15.75" x14ac:dyDescent="0.25">
      <c r="Q76" s="31" t="s">
        <v>91</v>
      </c>
      <c r="R76" s="33"/>
      <c r="S76" s="33" t="s">
        <v>90</v>
      </c>
    </row>
    <row r="77" spans="8:19" ht="19.5" thickBot="1" x14ac:dyDescent="0.35">
      <c r="J77" s="80" t="s">
        <v>55</v>
      </c>
      <c r="K77" s="80">
        <f>SUM(Miesiac_153[Podjazd '[km']])</f>
        <v>0</v>
      </c>
      <c r="L77" s="80">
        <f>SUM(Miesiac_153[Trasa '[km']])</f>
        <v>0</v>
      </c>
      <c r="M77" s="81">
        <f>SUM(Miesiac_153[Stawka])</f>
        <v>0</v>
      </c>
      <c r="N77" s="82" t="str">
        <f>IFERROR(M77/(L77+K77),"-")</f>
        <v>-</v>
      </c>
      <c r="Q77" s="84" t="s">
        <v>92</v>
      </c>
      <c r="R77" s="85">
        <f>R76-R75</f>
        <v>0</v>
      </c>
      <c r="S77" s="85" t="s">
        <v>90</v>
      </c>
    </row>
    <row r="78" spans="8:19" ht="21.75" thickBot="1" x14ac:dyDescent="0.4">
      <c r="J78" s="80" t="s">
        <v>56</v>
      </c>
      <c r="K78" s="83"/>
      <c r="L78" s="149">
        <f>M77/B7</f>
        <v>0</v>
      </c>
      <c r="M78" s="149"/>
      <c r="N78" s="149"/>
      <c r="Q78" s="88" t="s">
        <v>110</v>
      </c>
      <c r="R78" s="89" t="str">
        <f>IFERROR(M77/R77,"-")</f>
        <v>-</v>
      </c>
      <c r="S78" s="90"/>
    </row>
    <row r="79" spans="8:19" x14ac:dyDescent="0.25"/>
    <row r="80" spans="8:19" ht="15.75" thickBot="1" x14ac:dyDescent="0.3"/>
    <row r="81" spans="8:19" ht="24" thickBot="1" x14ac:dyDescent="0.4">
      <c r="H81" s="150" t="s">
        <v>8</v>
      </c>
      <c r="I81" s="151"/>
      <c r="J81" s="87">
        <v>2023</v>
      </c>
    </row>
    <row r="82" spans="8:19" x14ac:dyDescent="0.25">
      <c r="H82" s="7">
        <f>MATCH($H81,{"styczeń";"luty";"marzec";"kwiecień";"maj";"czerwiec";"lipiec";"sierpień";"wrzesień";"październik";"listopad";"grudzień"},0)</f>
        <v>3</v>
      </c>
    </row>
    <row r="83" spans="8:19" ht="35.1" customHeight="1" x14ac:dyDescent="0.25">
      <c r="H83" s="77" t="s">
        <v>0</v>
      </c>
      <c r="I83" s="77" t="s">
        <v>1</v>
      </c>
      <c r="J83" s="77" t="s">
        <v>2</v>
      </c>
      <c r="K83" s="77" t="s">
        <v>4</v>
      </c>
      <c r="L83" s="77" t="s">
        <v>3</v>
      </c>
      <c r="M83" s="77" t="s">
        <v>114</v>
      </c>
      <c r="N83" s="77" t="s">
        <v>115</v>
      </c>
      <c r="O83" s="78" t="s">
        <v>19</v>
      </c>
      <c r="Q83" s="77" t="s">
        <v>93</v>
      </c>
      <c r="R83" s="77" t="s">
        <v>49</v>
      </c>
      <c r="S83" s="77" t="s">
        <v>48</v>
      </c>
    </row>
    <row r="84" spans="8:19" s="27" customFormat="1" ht="15.75" x14ac:dyDescent="0.25">
      <c r="H84" s="38">
        <f>DATE(J81,H82,1)</f>
        <v>44986</v>
      </c>
      <c r="I84" s="39"/>
      <c r="J84" s="39"/>
      <c r="K84" s="39"/>
      <c r="L84" s="39"/>
      <c r="M84" s="40"/>
      <c r="N84" s="41" t="str">
        <f>IFERROR(Miesiac_155[[#This Row],[Stawka]]/(Miesiac_155[[#This Row],[Trasa '[km']]]+Miesiac_155[[#This Row],[Podjazd '[km']]]),"-")</f>
        <v>-</v>
      </c>
      <c r="O84" s="42"/>
      <c r="Q84" s="51" t="s">
        <v>53</v>
      </c>
      <c r="R84" s="55"/>
      <c r="S84" s="52"/>
    </row>
    <row r="85" spans="8:19" s="27" customFormat="1" ht="15.75" x14ac:dyDescent="0.25">
      <c r="H85" s="43">
        <f>H84+1</f>
        <v>44987</v>
      </c>
      <c r="I85" s="42"/>
      <c r="J85" s="42"/>
      <c r="K85" s="42"/>
      <c r="L85" s="42"/>
      <c r="M85" s="44"/>
      <c r="N85" s="45" t="str">
        <f>IFERROR(Miesiac_155[[#This Row],[Stawka]]/(Miesiac_155[[#This Row],[Trasa '[km']]]+Miesiac_155[[#This Row],[Podjazd '[km']]]),"-")</f>
        <v>-</v>
      </c>
      <c r="O85" s="46"/>
      <c r="Q85" s="51" t="s">
        <v>54</v>
      </c>
      <c r="R85" s="55"/>
      <c r="S85" s="52"/>
    </row>
    <row r="86" spans="8:19" s="27" customFormat="1" ht="15.75" x14ac:dyDescent="0.25">
      <c r="H86" s="43">
        <f t="shared" ref="H86:H110" si="4">H85+1</f>
        <v>44988</v>
      </c>
      <c r="I86" s="42"/>
      <c r="J86" s="42"/>
      <c r="K86" s="42"/>
      <c r="L86" s="42"/>
      <c r="M86" s="44"/>
      <c r="N86" s="45" t="str">
        <f>IFERROR(Miesiac_155[[#This Row],[Stawka]]/(Miesiac_155[[#This Row],[Trasa '[km']]]+Miesiac_155[[#This Row],[Podjazd '[km']]]),"-")</f>
        <v>-</v>
      </c>
      <c r="O86" s="42"/>
      <c r="Q86" s="51" t="s">
        <v>37</v>
      </c>
      <c r="R86" s="55"/>
      <c r="S86" s="52"/>
    </row>
    <row r="87" spans="8:19" s="27" customFormat="1" ht="15.75" x14ac:dyDescent="0.25">
      <c r="H87" s="43">
        <f t="shared" si="4"/>
        <v>44989</v>
      </c>
      <c r="I87" s="42"/>
      <c r="J87" s="42"/>
      <c r="K87" s="42"/>
      <c r="L87" s="42"/>
      <c r="M87" s="44"/>
      <c r="N87" s="45" t="str">
        <f>IFERROR(Miesiac_155[[#This Row],[Stawka]]/(Miesiac_155[[#This Row],[Trasa '[km']]]+Miesiac_155[[#This Row],[Podjazd '[km']]]),"-")</f>
        <v>-</v>
      </c>
      <c r="O87" s="39"/>
      <c r="Q87" s="51" t="s">
        <v>43</v>
      </c>
      <c r="R87" s="55"/>
      <c r="S87" s="52"/>
    </row>
    <row r="88" spans="8:19" s="27" customFormat="1" ht="15.75" x14ac:dyDescent="0.25">
      <c r="H88" s="43">
        <f t="shared" si="4"/>
        <v>44990</v>
      </c>
      <c r="I88" s="42"/>
      <c r="J88" s="42"/>
      <c r="K88" s="42"/>
      <c r="L88" s="42"/>
      <c r="M88" s="44"/>
      <c r="N88" s="45" t="str">
        <f>IFERROR(Miesiac_155[[#This Row],[Stawka]]/(Miesiac_155[[#This Row],[Trasa '[km']]]+Miesiac_155[[#This Row],[Podjazd '[km']]]),"-")</f>
        <v>-</v>
      </c>
      <c r="O88" s="39"/>
      <c r="Q88" s="51" t="s">
        <v>57</v>
      </c>
      <c r="R88" s="55"/>
      <c r="S88" s="52"/>
    </row>
    <row r="89" spans="8:19" s="27" customFormat="1" ht="15.75" x14ac:dyDescent="0.25">
      <c r="H89" s="43">
        <f t="shared" si="4"/>
        <v>44991</v>
      </c>
      <c r="I89" s="42"/>
      <c r="J89" s="42"/>
      <c r="K89" s="42"/>
      <c r="L89" s="42"/>
      <c r="M89" s="44"/>
      <c r="N89" s="45" t="str">
        <f>IFERROR(Miesiac_155[[#This Row],[Stawka]]/(Miesiac_155[[#This Row],[Trasa '[km']]]+Miesiac_155[[#This Row],[Podjazd '[km']]]),"-")</f>
        <v>-</v>
      </c>
      <c r="O89" s="42"/>
      <c r="Q89" s="51" t="s">
        <v>58</v>
      </c>
      <c r="R89" s="55"/>
      <c r="S89" s="52"/>
    </row>
    <row r="90" spans="8:19" s="27" customFormat="1" ht="15.75" x14ac:dyDescent="0.25">
      <c r="H90" s="43">
        <f t="shared" si="4"/>
        <v>44992</v>
      </c>
      <c r="I90" s="42"/>
      <c r="J90" s="42"/>
      <c r="K90" s="42"/>
      <c r="L90" s="42"/>
      <c r="M90" s="44"/>
      <c r="N90" s="45" t="str">
        <f>IFERROR(Miesiac_155[[#This Row],[Stawka]]/(Miesiac_155[[#This Row],[Trasa '[km']]]+Miesiac_155[[#This Row],[Podjazd '[km']]]),"-")</f>
        <v>-</v>
      </c>
      <c r="O90" s="42"/>
      <c r="Q90" s="51" t="s">
        <v>51</v>
      </c>
      <c r="R90" s="55"/>
      <c r="S90" s="52"/>
    </row>
    <row r="91" spans="8:19" s="27" customFormat="1" ht="15.75" x14ac:dyDescent="0.25">
      <c r="H91" s="43">
        <f t="shared" si="4"/>
        <v>44993</v>
      </c>
      <c r="I91" s="42"/>
      <c r="J91" s="42"/>
      <c r="K91" s="42"/>
      <c r="L91" s="42"/>
      <c r="M91" s="44"/>
      <c r="N91" s="45" t="str">
        <f>IFERROR(Miesiac_155[[#This Row],[Stawka]]/(Miesiac_155[[#This Row],[Trasa '[km']]]+Miesiac_155[[#This Row],[Podjazd '[km']]]),"-")</f>
        <v>-</v>
      </c>
      <c r="O91" s="42"/>
      <c r="Q91" s="51" t="s">
        <v>95</v>
      </c>
      <c r="R91" s="55"/>
      <c r="S91" s="52"/>
    </row>
    <row r="92" spans="8:19" s="27" customFormat="1" ht="15.75" x14ac:dyDescent="0.25">
      <c r="H92" s="43">
        <f t="shared" si="4"/>
        <v>44994</v>
      </c>
      <c r="I92" s="42"/>
      <c r="J92" s="42"/>
      <c r="K92" s="42"/>
      <c r="L92" s="42"/>
      <c r="M92" s="44"/>
      <c r="N92" s="45" t="str">
        <f>IFERROR(Miesiac_155[[#This Row],[Stawka]]/(Miesiac_155[[#This Row],[Trasa '[km']]]+Miesiac_155[[#This Row],[Podjazd '[km']]]),"-")</f>
        <v>-</v>
      </c>
      <c r="O92" s="42"/>
      <c r="Q92" s="51" t="s">
        <v>50</v>
      </c>
      <c r="R92" s="55"/>
      <c r="S92" s="52"/>
    </row>
    <row r="93" spans="8:19" s="27" customFormat="1" ht="15.75" x14ac:dyDescent="0.25">
      <c r="H93" s="43">
        <f t="shared" si="4"/>
        <v>44995</v>
      </c>
      <c r="I93" s="42"/>
      <c r="J93" s="42"/>
      <c r="K93" s="42"/>
      <c r="L93" s="42"/>
      <c r="M93" s="44"/>
      <c r="N93" s="45" t="str">
        <f>IFERROR(Miesiac_155[[#This Row],[Stawka]]/(Miesiac_155[[#This Row],[Trasa '[km']]]+Miesiac_155[[#This Row],[Podjazd '[km']]]),"-")</f>
        <v>-</v>
      </c>
      <c r="O93" s="42"/>
      <c r="Q93" s="51" t="s">
        <v>52</v>
      </c>
      <c r="R93" s="55"/>
      <c r="S93" s="52"/>
    </row>
    <row r="94" spans="8:19" s="27" customFormat="1" ht="15.75" x14ac:dyDescent="0.25">
      <c r="H94" s="43">
        <f t="shared" si="4"/>
        <v>44996</v>
      </c>
      <c r="I94" s="42"/>
      <c r="J94" s="42"/>
      <c r="K94" s="42"/>
      <c r="L94" s="42"/>
      <c r="M94" s="44"/>
      <c r="N94" s="45" t="str">
        <f>IFERROR(Miesiac_155[[#This Row],[Stawka]]/(Miesiac_155[[#This Row],[Trasa '[km']]]+Miesiac_155[[#This Row],[Podjazd '[km']]]),"-")</f>
        <v>-</v>
      </c>
      <c r="O94" s="42"/>
      <c r="Q94" s="51" t="s">
        <v>94</v>
      </c>
      <c r="R94" s="55"/>
      <c r="S94" s="52"/>
    </row>
    <row r="95" spans="8:19" s="27" customFormat="1" ht="15.75" x14ac:dyDescent="0.25">
      <c r="H95" s="43">
        <f t="shared" si="4"/>
        <v>44997</v>
      </c>
      <c r="I95" s="42"/>
      <c r="J95" s="42"/>
      <c r="K95" s="42"/>
      <c r="L95" s="42"/>
      <c r="M95" s="44"/>
      <c r="N95" s="45" t="str">
        <f>IFERROR(Miesiac_155[[#This Row],[Stawka]]/(Miesiac_155[[#This Row],[Trasa '[km']]]+Miesiac_155[[#This Row],[Podjazd '[km']]]),"-")</f>
        <v>-</v>
      </c>
      <c r="O95" s="42"/>
      <c r="Q95" s="51" t="s">
        <v>96</v>
      </c>
      <c r="R95" s="55"/>
      <c r="S95" s="52"/>
    </row>
    <row r="96" spans="8:19" s="27" customFormat="1" ht="15.75" x14ac:dyDescent="0.25">
      <c r="H96" s="43">
        <f t="shared" si="4"/>
        <v>44998</v>
      </c>
      <c r="I96" s="42"/>
      <c r="J96" s="42"/>
      <c r="K96" s="42"/>
      <c r="L96" s="42"/>
      <c r="M96" s="44"/>
      <c r="N96" s="45" t="str">
        <f>IFERROR(Miesiac_155[[#This Row],[Stawka]]/(Miesiac_155[[#This Row],[Trasa '[km']]]+Miesiac_155[[#This Row],[Podjazd '[km']]]),"-")</f>
        <v>-</v>
      </c>
      <c r="O96" s="42"/>
      <c r="Q96" s="51" t="s">
        <v>97</v>
      </c>
      <c r="R96" s="55"/>
      <c r="S96" s="52"/>
    </row>
    <row r="97" spans="8:19" s="27" customFormat="1" ht="15.75" x14ac:dyDescent="0.25">
      <c r="H97" s="43">
        <f t="shared" si="4"/>
        <v>44999</v>
      </c>
      <c r="I97" s="42"/>
      <c r="J97" s="42"/>
      <c r="K97" s="42"/>
      <c r="L97" s="42"/>
      <c r="M97" s="44"/>
      <c r="N97" s="45" t="str">
        <f>IFERROR(Miesiac_155[[#This Row],[Stawka]]/(Miesiac_155[[#This Row],[Trasa '[km']]]+Miesiac_155[[#This Row],[Podjazd '[km']]]),"-")</f>
        <v>-</v>
      </c>
      <c r="O97" s="42"/>
      <c r="Q97" s="51" t="s">
        <v>98</v>
      </c>
      <c r="R97" s="55"/>
      <c r="S97" s="52"/>
    </row>
    <row r="98" spans="8:19" s="27" customFormat="1" ht="15.75" x14ac:dyDescent="0.25">
      <c r="H98" s="43">
        <f t="shared" si="4"/>
        <v>45000</v>
      </c>
      <c r="I98" s="42"/>
      <c r="J98" s="42"/>
      <c r="K98" s="42"/>
      <c r="L98" s="42"/>
      <c r="M98" s="44"/>
      <c r="N98" s="45" t="str">
        <f>IFERROR(Miesiac_155[[#This Row],[Stawka]]/(Miesiac_155[[#This Row],[Trasa '[km']]]+Miesiac_155[[#This Row],[Podjazd '[km']]]),"-")</f>
        <v>-</v>
      </c>
      <c r="O98" s="42"/>
      <c r="Q98" s="51" t="s">
        <v>32</v>
      </c>
      <c r="R98" s="55"/>
      <c r="S98" s="52"/>
    </row>
    <row r="99" spans="8:19" s="27" customFormat="1" ht="15.75" x14ac:dyDescent="0.25">
      <c r="H99" s="43">
        <f t="shared" si="4"/>
        <v>45001</v>
      </c>
      <c r="I99" s="42"/>
      <c r="J99" s="42"/>
      <c r="K99" s="42"/>
      <c r="L99" s="42"/>
      <c r="M99" s="44"/>
      <c r="N99" s="45" t="str">
        <f>IFERROR(Miesiac_155[[#This Row],[Stawka]]/(Miesiac_155[[#This Row],[Trasa '[km']]]+Miesiac_155[[#This Row],[Podjazd '[km']]]),"-")</f>
        <v>-</v>
      </c>
      <c r="O99" s="42"/>
      <c r="Q99" s="51" t="s">
        <v>33</v>
      </c>
      <c r="R99" s="55"/>
      <c r="S99" s="52"/>
    </row>
    <row r="100" spans="8:19" s="27" customFormat="1" ht="15.75" x14ac:dyDescent="0.25">
      <c r="H100" s="43">
        <f t="shared" si="4"/>
        <v>45002</v>
      </c>
      <c r="I100" s="42"/>
      <c r="J100" s="42"/>
      <c r="K100" s="42"/>
      <c r="L100" s="42"/>
      <c r="M100" s="44"/>
      <c r="N100" s="45" t="str">
        <f>IFERROR(Miesiac_155[[#This Row],[Stawka]]/(Miesiac_155[[#This Row],[Trasa '[km']]]+Miesiac_155[[#This Row],[Podjazd '[km']]]),"-")</f>
        <v>-</v>
      </c>
      <c r="O100" s="42"/>
      <c r="Q100" s="51" t="s">
        <v>34</v>
      </c>
      <c r="R100" s="55"/>
      <c r="S100" s="52"/>
    </row>
    <row r="101" spans="8:19" s="27" customFormat="1" ht="15.75" x14ac:dyDescent="0.25">
      <c r="H101" s="43">
        <f t="shared" si="4"/>
        <v>45003</v>
      </c>
      <c r="I101" s="42"/>
      <c r="J101" s="42"/>
      <c r="K101" s="42"/>
      <c r="L101" s="42"/>
      <c r="M101" s="44"/>
      <c r="N101" s="45" t="str">
        <f>IFERROR(Miesiac_155[[#This Row],[Stawka]]/(Miesiac_155[[#This Row],[Trasa '[km']]]+Miesiac_155[[#This Row],[Podjazd '[km']]]),"-")</f>
        <v>-</v>
      </c>
      <c r="O101" s="42"/>
      <c r="Q101" s="51" t="s">
        <v>35</v>
      </c>
      <c r="R101" s="55"/>
      <c r="S101" s="52"/>
    </row>
    <row r="102" spans="8:19" s="27" customFormat="1" ht="15.75" x14ac:dyDescent="0.25">
      <c r="H102" s="43">
        <f t="shared" si="4"/>
        <v>45004</v>
      </c>
      <c r="I102" s="42"/>
      <c r="J102" s="42"/>
      <c r="K102" s="42"/>
      <c r="L102" s="42"/>
      <c r="M102" s="44"/>
      <c r="N102" s="45" t="str">
        <f>IFERROR(Miesiac_155[[#This Row],[Stawka]]/(Miesiac_155[[#This Row],[Trasa '[km']]]+Miesiac_155[[#This Row],[Podjazd '[km']]]),"-")</f>
        <v>-</v>
      </c>
      <c r="O102" s="42"/>
      <c r="Q102" s="51" t="s">
        <v>116</v>
      </c>
      <c r="R102" s="55"/>
      <c r="S102" s="52"/>
    </row>
    <row r="103" spans="8:19" s="27" customFormat="1" ht="15.75" x14ac:dyDescent="0.25">
      <c r="H103" s="43">
        <f t="shared" si="4"/>
        <v>45005</v>
      </c>
      <c r="I103" s="42"/>
      <c r="J103" s="42"/>
      <c r="K103" s="42"/>
      <c r="L103" s="42"/>
      <c r="M103" s="44"/>
      <c r="N103" s="45" t="str">
        <f>IFERROR(Miesiac_155[[#This Row],[Stawka]]/(Miesiac_155[[#This Row],[Trasa '[km']]]+Miesiac_155[[#This Row],[Podjazd '[km']]]),"-")</f>
        <v>-</v>
      </c>
      <c r="O103" s="42"/>
      <c r="Q103" s="51" t="s">
        <v>117</v>
      </c>
      <c r="R103" s="55"/>
      <c r="S103" s="52"/>
    </row>
    <row r="104" spans="8:19" s="27" customFormat="1" ht="15.75" x14ac:dyDescent="0.25">
      <c r="H104" s="43">
        <f t="shared" si="4"/>
        <v>45006</v>
      </c>
      <c r="I104" s="42"/>
      <c r="J104" s="42"/>
      <c r="K104" s="42"/>
      <c r="L104" s="42"/>
      <c r="M104" s="44"/>
      <c r="N104" s="45" t="str">
        <f>IFERROR(Miesiac_155[[#This Row],[Stawka]]/(Miesiac_155[[#This Row],[Trasa '[km']]]+Miesiac_155[[#This Row],[Podjazd '[km']]]),"-")</f>
        <v>-</v>
      </c>
      <c r="O104" s="42"/>
      <c r="Q104" s="51" t="s">
        <v>118</v>
      </c>
      <c r="R104" s="55"/>
      <c r="S104" s="52"/>
    </row>
    <row r="105" spans="8:19" s="27" customFormat="1" ht="15.75" x14ac:dyDescent="0.25">
      <c r="H105" s="43">
        <f t="shared" si="4"/>
        <v>45007</v>
      </c>
      <c r="I105" s="42"/>
      <c r="J105" s="42"/>
      <c r="K105" s="42"/>
      <c r="L105" s="42"/>
      <c r="M105" s="44"/>
      <c r="N105" s="45" t="str">
        <f>IFERROR(Miesiac_155[[#This Row],[Stawka]]/(Miesiac_155[[#This Row],[Trasa '[km']]]+Miesiac_155[[#This Row],[Podjazd '[km']]]),"-")</f>
        <v>-</v>
      </c>
      <c r="O105" s="42"/>
      <c r="Q105" s="51" t="s">
        <v>119</v>
      </c>
      <c r="R105" s="55"/>
      <c r="S105" s="52"/>
    </row>
    <row r="106" spans="8:19" s="27" customFormat="1" ht="15.75" x14ac:dyDescent="0.25">
      <c r="H106" s="43">
        <f t="shared" si="4"/>
        <v>45008</v>
      </c>
      <c r="I106" s="42"/>
      <c r="J106" s="42"/>
      <c r="K106" s="42"/>
      <c r="L106" s="42"/>
      <c r="M106" s="44"/>
      <c r="N106" s="45" t="str">
        <f>IFERROR(Miesiac_155[[#This Row],[Stawka]]/(Miesiac_155[[#This Row],[Trasa '[km']]]+Miesiac_155[[#This Row],[Podjazd '[km']]]),"-")</f>
        <v>-</v>
      </c>
      <c r="O106" s="42"/>
      <c r="Q106" s="51" t="s">
        <v>120</v>
      </c>
      <c r="R106" s="55"/>
      <c r="S106" s="52"/>
    </row>
    <row r="107" spans="8:19" s="27" customFormat="1" ht="15.75" x14ac:dyDescent="0.25">
      <c r="H107" s="43">
        <f t="shared" si="4"/>
        <v>45009</v>
      </c>
      <c r="I107" s="42"/>
      <c r="J107" s="42"/>
      <c r="K107" s="42"/>
      <c r="L107" s="42"/>
      <c r="M107" s="44"/>
      <c r="N107" s="45" t="str">
        <f>IFERROR(Miesiac_155[[#This Row],[Stawka]]/(Miesiac_155[[#This Row],[Trasa '[km']]]+Miesiac_155[[#This Row],[Podjazd '[km']]]),"-")</f>
        <v>-</v>
      </c>
      <c r="O107" s="42"/>
      <c r="Q107" s="51" t="s">
        <v>121</v>
      </c>
      <c r="R107" s="55"/>
      <c r="S107" s="52"/>
    </row>
    <row r="108" spans="8:19" s="27" customFormat="1" ht="15.75" x14ac:dyDescent="0.25">
      <c r="H108" s="43">
        <f t="shared" si="4"/>
        <v>45010</v>
      </c>
      <c r="I108" s="42"/>
      <c r="J108" s="42"/>
      <c r="K108" s="42"/>
      <c r="L108" s="42"/>
      <c r="M108" s="44"/>
      <c r="N108" s="45" t="str">
        <f>IFERROR(Miesiac_155[[#This Row],[Stawka]]/(Miesiac_155[[#This Row],[Trasa '[km']]]+Miesiac_155[[#This Row],[Podjazd '[km']]]),"-")</f>
        <v>-</v>
      </c>
      <c r="O108" s="42"/>
      <c r="Q108" s="51" t="s">
        <v>122</v>
      </c>
      <c r="R108" s="55"/>
      <c r="S108" s="52"/>
    </row>
    <row r="109" spans="8:19" s="27" customFormat="1" ht="18.75" x14ac:dyDescent="0.3">
      <c r="H109" s="43">
        <f t="shared" si="4"/>
        <v>45011</v>
      </c>
      <c r="I109" s="42"/>
      <c r="J109" s="42"/>
      <c r="K109" s="42"/>
      <c r="L109" s="42"/>
      <c r="M109" s="44"/>
      <c r="N109" s="45" t="str">
        <f>IFERROR(Miesiac_155[[#This Row],[Stawka]]/(Miesiac_155[[#This Row],[Trasa '[km']]]+Miesiac_155[[#This Row],[Podjazd '[km']]]),"-")</f>
        <v>-</v>
      </c>
      <c r="O109" s="42"/>
      <c r="Q109" s="28" t="s">
        <v>36</v>
      </c>
      <c r="R109" s="29">
        <f>SUBTOTAL(109,Koszty_3[Kwota PLN '[netto']])</f>
        <v>0</v>
      </c>
      <c r="S109" s="30">
        <f>SUBTOTAL(109,Koszty_3[Kwota € '[netto']])</f>
        <v>0</v>
      </c>
    </row>
    <row r="110" spans="8:19" s="27" customFormat="1" ht="15.75" x14ac:dyDescent="0.25">
      <c r="H110" s="43">
        <f t="shared" si="4"/>
        <v>45012</v>
      </c>
      <c r="I110" s="42"/>
      <c r="J110" s="42"/>
      <c r="K110" s="42"/>
      <c r="L110" s="42"/>
      <c r="M110" s="44"/>
      <c r="N110" s="45" t="str">
        <f>IFERROR(Miesiac_155[[#This Row],[Stawka]]/(Miesiac_155[[#This Row],[Trasa '[km']]]+Miesiac_155[[#This Row],[Podjazd '[km']]]),"-")</f>
        <v>-</v>
      </c>
      <c r="O110" s="42"/>
      <c r="Q110" s="1"/>
      <c r="R110" s="1"/>
      <c r="S110" s="1"/>
    </row>
    <row r="111" spans="8:19" s="27" customFormat="1" ht="15.75" x14ac:dyDescent="0.25">
      <c r="H111" s="50">
        <f>IF(H110&lt;&gt;"-",IF(MONTH(H110)=MONTH(H110+1),H110+1,"-"),"-")</f>
        <v>45013</v>
      </c>
      <c r="I111" s="42"/>
      <c r="J111" s="42"/>
      <c r="K111" s="42"/>
      <c r="L111" s="42"/>
      <c r="M111" s="44"/>
      <c r="N111" s="45" t="str">
        <f>IFERROR(Miesiac_155[[#This Row],[Stawka]]/(Miesiac_155[[#This Row],[Trasa '[km']]]+Miesiac_155[[#This Row],[Podjazd '[km']]]),"-")</f>
        <v>-</v>
      </c>
      <c r="O111" s="42"/>
      <c r="Q111" s="1"/>
      <c r="R111" s="1"/>
      <c r="S111" s="1"/>
    </row>
    <row r="112" spans="8:19" s="27" customFormat="1" ht="15.75" x14ac:dyDescent="0.25">
      <c r="H112" s="50">
        <f t="shared" ref="H112:H114" si="5">IF(H111&lt;&gt;"-",IF(MONTH(H111)=MONTH(H111+1),H111+1,"-"),"-")</f>
        <v>45014</v>
      </c>
      <c r="I112" s="42"/>
      <c r="J112" s="42"/>
      <c r="K112" s="42"/>
      <c r="L112" s="42"/>
      <c r="M112" s="44"/>
      <c r="N112" s="45" t="str">
        <f>IFERROR(Miesiac_155[[#This Row],[Stawka]]/(Miesiac_155[[#This Row],[Trasa '[km']]]+Miesiac_155[[#This Row],[Podjazd '[km']]]),"-")</f>
        <v>-</v>
      </c>
      <c r="O112" s="42"/>
      <c r="Q112" s="1"/>
      <c r="R112" s="1"/>
      <c r="S112" s="1"/>
    </row>
    <row r="113" spans="8:19" s="27" customFormat="1" ht="15.75" x14ac:dyDescent="0.25">
      <c r="H113" s="50">
        <f t="shared" si="5"/>
        <v>45015</v>
      </c>
      <c r="I113" s="42"/>
      <c r="J113" s="42"/>
      <c r="K113" s="42"/>
      <c r="L113" s="42"/>
      <c r="M113" s="44"/>
      <c r="N113" s="45" t="str">
        <f>IFERROR(Miesiac_155[[#This Row],[Stawka]]/(Miesiac_155[[#This Row],[Trasa '[km']]]+Miesiac_155[[#This Row],[Podjazd '[km']]]),"-")</f>
        <v>-</v>
      </c>
      <c r="O113" s="42"/>
      <c r="Q113" s="1"/>
      <c r="R113" s="1"/>
      <c r="S113" s="1"/>
    </row>
    <row r="114" spans="8:19" s="27" customFormat="1" ht="15.75" x14ac:dyDescent="0.25">
      <c r="H114" s="50">
        <f t="shared" si="5"/>
        <v>45016</v>
      </c>
      <c r="I114" s="51"/>
      <c r="J114" s="51"/>
      <c r="K114" s="51"/>
      <c r="L114" s="51"/>
      <c r="M114" s="52"/>
      <c r="N114" s="53" t="str">
        <f>IFERROR(Miesiac_155[[#This Row],[Stawka]]/(Miesiac_155[[#This Row],[Trasa '[km']]]+Miesiac_155[[#This Row],[Podjazd '[km']]]),"-")</f>
        <v>-</v>
      </c>
      <c r="O114" s="51"/>
      <c r="Q114" s="31" t="s">
        <v>89</v>
      </c>
      <c r="R114" s="32"/>
      <c r="S114" s="33" t="s">
        <v>90</v>
      </c>
    </row>
    <row r="115" spans="8:19" s="27" customFormat="1" ht="15.75" x14ac:dyDescent="0.25">
      <c r="Q115" s="31" t="s">
        <v>91</v>
      </c>
      <c r="R115" s="33"/>
      <c r="S115" s="33" t="s">
        <v>90</v>
      </c>
    </row>
    <row r="116" spans="8:19" ht="19.5" thickBot="1" x14ac:dyDescent="0.35">
      <c r="J116" s="80" t="s">
        <v>55</v>
      </c>
      <c r="K116" s="80">
        <f>SUM(Miesiac_155[Podjazd '[km']])</f>
        <v>0</v>
      </c>
      <c r="L116" s="80">
        <f>SUM(Miesiac_155[Trasa '[km']])</f>
        <v>0</v>
      </c>
      <c r="M116" s="81">
        <f>SUM(Miesiac_155[Stawka])</f>
        <v>0</v>
      </c>
      <c r="N116" s="82" t="str">
        <f>IFERROR(M116/(L116+K116),"-")</f>
        <v>-</v>
      </c>
      <c r="Q116" s="84" t="s">
        <v>92</v>
      </c>
      <c r="R116" s="85">
        <f>R115-R114</f>
        <v>0</v>
      </c>
      <c r="S116" s="85" t="s">
        <v>90</v>
      </c>
    </row>
    <row r="117" spans="8:19" ht="21.75" thickBot="1" x14ac:dyDescent="0.4">
      <c r="J117" s="80" t="s">
        <v>56</v>
      </c>
      <c r="K117" s="83"/>
      <c r="L117" s="149">
        <f>M116/B8</f>
        <v>0</v>
      </c>
      <c r="M117" s="149"/>
      <c r="N117" s="149"/>
      <c r="Q117" s="88" t="s">
        <v>110</v>
      </c>
      <c r="R117" s="89" t="str">
        <f>IFERROR(M116/R116,"-")</f>
        <v>-</v>
      </c>
      <c r="S117" s="90"/>
    </row>
    <row r="118" spans="8:19" x14ac:dyDescent="0.25"/>
    <row r="119" spans="8:19" ht="15.75" thickBot="1" x14ac:dyDescent="0.3"/>
    <row r="120" spans="8:19" ht="24" thickBot="1" x14ac:dyDescent="0.4">
      <c r="H120" s="150" t="s">
        <v>9</v>
      </c>
      <c r="I120" s="151"/>
      <c r="J120" s="87">
        <v>2023</v>
      </c>
    </row>
    <row r="121" spans="8:19" x14ac:dyDescent="0.25">
      <c r="H121" s="7">
        <f>MATCH($H120,{"styczeń";"luty";"marzec";"kwiecień";"maj";"czerwiec";"lipiec";"sierpień";"wrzesień";"październik";"listopad";"grudzień"},0)</f>
        <v>4</v>
      </c>
    </row>
    <row r="122" spans="8:19" ht="35.1" customHeight="1" x14ac:dyDescent="0.25">
      <c r="H122" s="77" t="s">
        <v>0</v>
      </c>
      <c r="I122" s="77" t="s">
        <v>1</v>
      </c>
      <c r="J122" s="77" t="s">
        <v>2</v>
      </c>
      <c r="K122" s="77" t="s">
        <v>4</v>
      </c>
      <c r="L122" s="77" t="s">
        <v>3</v>
      </c>
      <c r="M122" s="77" t="s">
        <v>114</v>
      </c>
      <c r="N122" s="77" t="s">
        <v>115</v>
      </c>
      <c r="O122" s="78" t="s">
        <v>19</v>
      </c>
      <c r="Q122" s="77" t="s">
        <v>93</v>
      </c>
      <c r="R122" s="77" t="s">
        <v>49</v>
      </c>
      <c r="S122" s="77" t="s">
        <v>48</v>
      </c>
    </row>
    <row r="123" spans="8:19" s="27" customFormat="1" ht="15.75" x14ac:dyDescent="0.25">
      <c r="H123" s="38">
        <f>DATE(J120,H121,1)</f>
        <v>45017</v>
      </c>
      <c r="I123" s="39"/>
      <c r="J123" s="39"/>
      <c r="K123" s="39"/>
      <c r="L123" s="39"/>
      <c r="M123" s="40"/>
      <c r="N123" s="41" t="str">
        <f>IFERROR(Miesiac_157[[#This Row],[Stawka]]/(Miesiac_157[[#This Row],[Trasa '[km']]]+Miesiac_157[[#This Row],[Podjazd '[km']]]),"-")</f>
        <v>-</v>
      </c>
      <c r="O123" s="42"/>
      <c r="Q123" s="51" t="s">
        <v>53</v>
      </c>
      <c r="R123" s="55"/>
      <c r="S123" s="52"/>
    </row>
    <row r="124" spans="8:19" s="27" customFormat="1" ht="15.75" x14ac:dyDescent="0.25">
      <c r="H124" s="43">
        <f>H123+1</f>
        <v>45018</v>
      </c>
      <c r="I124" s="42"/>
      <c r="J124" s="42"/>
      <c r="K124" s="42"/>
      <c r="L124" s="42"/>
      <c r="M124" s="44"/>
      <c r="N124" s="45" t="str">
        <f>IFERROR(Miesiac_157[[#This Row],[Stawka]]/(Miesiac_157[[#This Row],[Trasa '[km']]]+Miesiac_157[[#This Row],[Podjazd '[km']]]),"-")</f>
        <v>-</v>
      </c>
      <c r="O124" s="46"/>
      <c r="Q124" s="51" t="s">
        <v>54</v>
      </c>
      <c r="R124" s="55"/>
      <c r="S124" s="52"/>
    </row>
    <row r="125" spans="8:19" s="27" customFormat="1" ht="15.75" x14ac:dyDescent="0.25">
      <c r="H125" s="43">
        <f t="shared" ref="H125:H149" si="6">H124+1</f>
        <v>45019</v>
      </c>
      <c r="I125" s="42"/>
      <c r="J125" s="42"/>
      <c r="K125" s="42"/>
      <c r="L125" s="42"/>
      <c r="M125" s="44"/>
      <c r="N125" s="45" t="str">
        <f>IFERROR(Miesiac_157[[#This Row],[Stawka]]/(Miesiac_157[[#This Row],[Trasa '[km']]]+Miesiac_157[[#This Row],[Podjazd '[km']]]),"-")</f>
        <v>-</v>
      </c>
      <c r="O125" s="42"/>
      <c r="Q125" s="51" t="s">
        <v>37</v>
      </c>
      <c r="R125" s="55"/>
      <c r="S125" s="52"/>
    </row>
    <row r="126" spans="8:19" s="27" customFormat="1" ht="15.75" x14ac:dyDescent="0.25">
      <c r="H126" s="43">
        <f t="shared" si="6"/>
        <v>45020</v>
      </c>
      <c r="I126" s="42"/>
      <c r="J126" s="42"/>
      <c r="K126" s="42"/>
      <c r="L126" s="42"/>
      <c r="M126" s="44"/>
      <c r="N126" s="45" t="str">
        <f>IFERROR(Miesiac_157[[#This Row],[Stawka]]/(Miesiac_157[[#This Row],[Trasa '[km']]]+Miesiac_157[[#This Row],[Podjazd '[km']]]),"-")</f>
        <v>-</v>
      </c>
      <c r="O126" s="39"/>
      <c r="Q126" s="51" t="s">
        <v>43</v>
      </c>
      <c r="R126" s="55"/>
      <c r="S126" s="52"/>
    </row>
    <row r="127" spans="8:19" s="27" customFormat="1" ht="15.75" x14ac:dyDescent="0.25">
      <c r="H127" s="43">
        <f t="shared" si="6"/>
        <v>45021</v>
      </c>
      <c r="I127" s="42"/>
      <c r="J127" s="42"/>
      <c r="K127" s="42"/>
      <c r="L127" s="42"/>
      <c r="M127" s="44"/>
      <c r="N127" s="45" t="str">
        <f>IFERROR(Miesiac_157[[#This Row],[Stawka]]/(Miesiac_157[[#This Row],[Trasa '[km']]]+Miesiac_157[[#This Row],[Podjazd '[km']]]),"-")</f>
        <v>-</v>
      </c>
      <c r="O127" s="39"/>
      <c r="Q127" s="51" t="s">
        <v>57</v>
      </c>
      <c r="R127" s="55"/>
      <c r="S127" s="52"/>
    </row>
    <row r="128" spans="8:19" s="27" customFormat="1" ht="15.75" x14ac:dyDescent="0.25">
      <c r="H128" s="43">
        <f t="shared" si="6"/>
        <v>45022</v>
      </c>
      <c r="I128" s="42"/>
      <c r="J128" s="42"/>
      <c r="K128" s="42"/>
      <c r="L128" s="42"/>
      <c r="M128" s="44"/>
      <c r="N128" s="45" t="str">
        <f>IFERROR(Miesiac_157[[#This Row],[Stawka]]/(Miesiac_157[[#This Row],[Trasa '[km']]]+Miesiac_157[[#This Row],[Podjazd '[km']]]),"-")</f>
        <v>-</v>
      </c>
      <c r="O128" s="42"/>
      <c r="Q128" s="51" t="s">
        <v>58</v>
      </c>
      <c r="R128" s="55"/>
      <c r="S128" s="52"/>
    </row>
    <row r="129" spans="8:19" s="27" customFormat="1" ht="15.75" x14ac:dyDescent="0.25">
      <c r="H129" s="43">
        <f t="shared" si="6"/>
        <v>45023</v>
      </c>
      <c r="I129" s="42"/>
      <c r="J129" s="42"/>
      <c r="K129" s="42"/>
      <c r="L129" s="42"/>
      <c r="M129" s="44"/>
      <c r="N129" s="45" t="str">
        <f>IFERROR(Miesiac_157[[#This Row],[Stawka]]/(Miesiac_157[[#This Row],[Trasa '[km']]]+Miesiac_157[[#This Row],[Podjazd '[km']]]),"-")</f>
        <v>-</v>
      </c>
      <c r="O129" s="42"/>
      <c r="Q129" s="51" t="s">
        <v>51</v>
      </c>
      <c r="R129" s="55"/>
      <c r="S129" s="52"/>
    </row>
    <row r="130" spans="8:19" s="27" customFormat="1" ht="15.75" x14ac:dyDescent="0.25">
      <c r="H130" s="43">
        <f t="shared" si="6"/>
        <v>45024</v>
      </c>
      <c r="I130" s="42"/>
      <c r="J130" s="42"/>
      <c r="K130" s="42"/>
      <c r="L130" s="42"/>
      <c r="M130" s="44"/>
      <c r="N130" s="45" t="str">
        <f>IFERROR(Miesiac_157[[#This Row],[Stawka]]/(Miesiac_157[[#This Row],[Trasa '[km']]]+Miesiac_157[[#This Row],[Podjazd '[km']]]),"-")</f>
        <v>-</v>
      </c>
      <c r="O130" s="42"/>
      <c r="Q130" s="51" t="s">
        <v>95</v>
      </c>
      <c r="R130" s="55"/>
      <c r="S130" s="52"/>
    </row>
    <row r="131" spans="8:19" s="27" customFormat="1" ht="15.75" x14ac:dyDescent="0.25">
      <c r="H131" s="43">
        <f t="shared" si="6"/>
        <v>45025</v>
      </c>
      <c r="I131" s="42"/>
      <c r="J131" s="42"/>
      <c r="K131" s="42"/>
      <c r="L131" s="42"/>
      <c r="M131" s="44"/>
      <c r="N131" s="45" t="str">
        <f>IFERROR(Miesiac_157[[#This Row],[Stawka]]/(Miesiac_157[[#This Row],[Trasa '[km']]]+Miesiac_157[[#This Row],[Podjazd '[km']]]),"-")</f>
        <v>-</v>
      </c>
      <c r="O131" s="42"/>
      <c r="Q131" s="51" t="s">
        <v>50</v>
      </c>
      <c r="R131" s="55"/>
      <c r="S131" s="52"/>
    </row>
    <row r="132" spans="8:19" s="27" customFormat="1" ht="15.75" x14ac:dyDescent="0.25">
      <c r="H132" s="43">
        <f t="shared" si="6"/>
        <v>45026</v>
      </c>
      <c r="I132" s="42"/>
      <c r="J132" s="42"/>
      <c r="K132" s="42"/>
      <c r="L132" s="42"/>
      <c r="M132" s="44"/>
      <c r="N132" s="45" t="str">
        <f>IFERROR(Miesiac_157[[#This Row],[Stawka]]/(Miesiac_157[[#This Row],[Trasa '[km']]]+Miesiac_157[[#This Row],[Podjazd '[km']]]),"-")</f>
        <v>-</v>
      </c>
      <c r="O132" s="42"/>
      <c r="Q132" s="51" t="s">
        <v>52</v>
      </c>
      <c r="R132" s="55"/>
      <c r="S132" s="52"/>
    </row>
    <row r="133" spans="8:19" s="27" customFormat="1" ht="15.75" x14ac:dyDescent="0.25">
      <c r="H133" s="43">
        <f t="shared" si="6"/>
        <v>45027</v>
      </c>
      <c r="I133" s="42"/>
      <c r="J133" s="42"/>
      <c r="K133" s="42"/>
      <c r="L133" s="42"/>
      <c r="M133" s="44"/>
      <c r="N133" s="45" t="str">
        <f>IFERROR(Miesiac_157[[#This Row],[Stawka]]/(Miesiac_157[[#This Row],[Trasa '[km']]]+Miesiac_157[[#This Row],[Podjazd '[km']]]),"-")</f>
        <v>-</v>
      </c>
      <c r="O133" s="42"/>
      <c r="Q133" s="51" t="s">
        <v>94</v>
      </c>
      <c r="R133" s="55"/>
      <c r="S133" s="52"/>
    </row>
    <row r="134" spans="8:19" s="27" customFormat="1" ht="15.75" x14ac:dyDescent="0.25">
      <c r="H134" s="43">
        <f t="shared" si="6"/>
        <v>45028</v>
      </c>
      <c r="I134" s="42"/>
      <c r="J134" s="42"/>
      <c r="K134" s="42"/>
      <c r="L134" s="42"/>
      <c r="M134" s="44"/>
      <c r="N134" s="45" t="str">
        <f>IFERROR(Miesiac_157[[#This Row],[Stawka]]/(Miesiac_157[[#This Row],[Trasa '[km']]]+Miesiac_157[[#This Row],[Podjazd '[km']]]),"-")</f>
        <v>-</v>
      </c>
      <c r="O134" s="42"/>
      <c r="Q134" s="51" t="s">
        <v>96</v>
      </c>
      <c r="R134" s="55"/>
      <c r="S134" s="52"/>
    </row>
    <row r="135" spans="8:19" s="27" customFormat="1" ht="15.75" x14ac:dyDescent="0.25">
      <c r="H135" s="43">
        <f t="shared" si="6"/>
        <v>45029</v>
      </c>
      <c r="I135" s="42"/>
      <c r="J135" s="42"/>
      <c r="K135" s="42"/>
      <c r="L135" s="42"/>
      <c r="M135" s="44"/>
      <c r="N135" s="45" t="str">
        <f>IFERROR(Miesiac_157[[#This Row],[Stawka]]/(Miesiac_157[[#This Row],[Trasa '[km']]]+Miesiac_157[[#This Row],[Podjazd '[km']]]),"-")</f>
        <v>-</v>
      </c>
      <c r="O135" s="42"/>
      <c r="Q135" s="51" t="s">
        <v>97</v>
      </c>
      <c r="R135" s="55"/>
      <c r="S135" s="52"/>
    </row>
    <row r="136" spans="8:19" s="27" customFormat="1" ht="15.75" x14ac:dyDescent="0.25">
      <c r="H136" s="43">
        <f t="shared" si="6"/>
        <v>45030</v>
      </c>
      <c r="I136" s="42"/>
      <c r="J136" s="42"/>
      <c r="K136" s="42"/>
      <c r="L136" s="42"/>
      <c r="M136" s="44"/>
      <c r="N136" s="45" t="str">
        <f>IFERROR(Miesiac_157[[#This Row],[Stawka]]/(Miesiac_157[[#This Row],[Trasa '[km']]]+Miesiac_157[[#This Row],[Podjazd '[km']]]),"-")</f>
        <v>-</v>
      </c>
      <c r="O136" s="42"/>
      <c r="Q136" s="51" t="s">
        <v>98</v>
      </c>
      <c r="R136" s="55"/>
      <c r="S136" s="52"/>
    </row>
    <row r="137" spans="8:19" s="27" customFormat="1" ht="15.75" x14ac:dyDescent="0.25">
      <c r="H137" s="43">
        <f t="shared" si="6"/>
        <v>45031</v>
      </c>
      <c r="I137" s="42"/>
      <c r="J137" s="42"/>
      <c r="K137" s="42"/>
      <c r="L137" s="42"/>
      <c r="M137" s="44"/>
      <c r="N137" s="45" t="str">
        <f>IFERROR(Miesiac_157[[#This Row],[Stawka]]/(Miesiac_157[[#This Row],[Trasa '[km']]]+Miesiac_157[[#This Row],[Podjazd '[km']]]),"-")</f>
        <v>-</v>
      </c>
      <c r="O137" s="42"/>
      <c r="Q137" s="51" t="s">
        <v>32</v>
      </c>
      <c r="R137" s="55"/>
      <c r="S137" s="52"/>
    </row>
    <row r="138" spans="8:19" s="27" customFormat="1" ht="15.75" x14ac:dyDescent="0.25">
      <c r="H138" s="43">
        <f t="shared" si="6"/>
        <v>45032</v>
      </c>
      <c r="I138" s="42"/>
      <c r="J138" s="42"/>
      <c r="K138" s="42"/>
      <c r="L138" s="42"/>
      <c r="M138" s="44"/>
      <c r="N138" s="45" t="str">
        <f>IFERROR(Miesiac_157[[#This Row],[Stawka]]/(Miesiac_157[[#This Row],[Trasa '[km']]]+Miesiac_157[[#This Row],[Podjazd '[km']]]),"-")</f>
        <v>-</v>
      </c>
      <c r="O138" s="42"/>
      <c r="Q138" s="51" t="s">
        <v>33</v>
      </c>
      <c r="R138" s="55"/>
      <c r="S138" s="52"/>
    </row>
    <row r="139" spans="8:19" s="27" customFormat="1" ht="15.75" x14ac:dyDescent="0.25">
      <c r="H139" s="43">
        <f t="shared" si="6"/>
        <v>45033</v>
      </c>
      <c r="I139" s="42"/>
      <c r="J139" s="42"/>
      <c r="K139" s="42"/>
      <c r="L139" s="42"/>
      <c r="M139" s="44"/>
      <c r="N139" s="45" t="str">
        <f>IFERROR(Miesiac_157[[#This Row],[Stawka]]/(Miesiac_157[[#This Row],[Trasa '[km']]]+Miesiac_157[[#This Row],[Podjazd '[km']]]),"-")</f>
        <v>-</v>
      </c>
      <c r="O139" s="42"/>
      <c r="Q139" s="51" t="s">
        <v>34</v>
      </c>
      <c r="R139" s="55"/>
      <c r="S139" s="52"/>
    </row>
    <row r="140" spans="8:19" s="27" customFormat="1" ht="15.75" x14ac:dyDescent="0.25">
      <c r="H140" s="43">
        <f t="shared" si="6"/>
        <v>45034</v>
      </c>
      <c r="I140" s="42"/>
      <c r="J140" s="42"/>
      <c r="K140" s="42"/>
      <c r="L140" s="42"/>
      <c r="M140" s="44"/>
      <c r="N140" s="45" t="str">
        <f>IFERROR(Miesiac_157[[#This Row],[Stawka]]/(Miesiac_157[[#This Row],[Trasa '[km']]]+Miesiac_157[[#This Row],[Podjazd '[km']]]),"-")</f>
        <v>-</v>
      </c>
      <c r="O140" s="42"/>
      <c r="Q140" s="51" t="s">
        <v>35</v>
      </c>
      <c r="R140" s="55"/>
      <c r="S140" s="52"/>
    </row>
    <row r="141" spans="8:19" s="27" customFormat="1" ht="15.75" x14ac:dyDescent="0.25">
      <c r="H141" s="43">
        <f t="shared" si="6"/>
        <v>45035</v>
      </c>
      <c r="I141" s="42"/>
      <c r="J141" s="42"/>
      <c r="K141" s="42"/>
      <c r="L141" s="42"/>
      <c r="M141" s="44"/>
      <c r="N141" s="45" t="str">
        <f>IFERROR(Miesiac_157[[#This Row],[Stawka]]/(Miesiac_157[[#This Row],[Trasa '[km']]]+Miesiac_157[[#This Row],[Podjazd '[km']]]),"-")</f>
        <v>-</v>
      </c>
      <c r="O141" s="42"/>
      <c r="Q141" s="51" t="s">
        <v>116</v>
      </c>
      <c r="R141" s="55"/>
      <c r="S141" s="52"/>
    </row>
    <row r="142" spans="8:19" s="27" customFormat="1" ht="15.75" x14ac:dyDescent="0.25">
      <c r="H142" s="43">
        <f t="shared" si="6"/>
        <v>45036</v>
      </c>
      <c r="I142" s="42"/>
      <c r="J142" s="42"/>
      <c r="K142" s="42"/>
      <c r="L142" s="42"/>
      <c r="M142" s="44"/>
      <c r="N142" s="45" t="str">
        <f>IFERROR(Miesiac_157[[#This Row],[Stawka]]/(Miesiac_157[[#This Row],[Trasa '[km']]]+Miesiac_157[[#This Row],[Podjazd '[km']]]),"-")</f>
        <v>-</v>
      </c>
      <c r="O142" s="42"/>
      <c r="Q142" s="51" t="s">
        <v>117</v>
      </c>
      <c r="R142" s="55"/>
      <c r="S142" s="52"/>
    </row>
    <row r="143" spans="8:19" s="27" customFormat="1" ht="15.75" x14ac:dyDescent="0.25">
      <c r="H143" s="43">
        <f t="shared" si="6"/>
        <v>45037</v>
      </c>
      <c r="I143" s="42"/>
      <c r="J143" s="42"/>
      <c r="K143" s="42"/>
      <c r="L143" s="42"/>
      <c r="M143" s="44"/>
      <c r="N143" s="45" t="str">
        <f>IFERROR(Miesiac_157[[#This Row],[Stawka]]/(Miesiac_157[[#This Row],[Trasa '[km']]]+Miesiac_157[[#This Row],[Podjazd '[km']]]),"-")</f>
        <v>-</v>
      </c>
      <c r="O143" s="42"/>
      <c r="Q143" s="51" t="s">
        <v>118</v>
      </c>
      <c r="R143" s="55"/>
      <c r="S143" s="52"/>
    </row>
    <row r="144" spans="8:19" s="27" customFormat="1" ht="15.75" x14ac:dyDescent="0.25">
      <c r="H144" s="43">
        <f t="shared" si="6"/>
        <v>45038</v>
      </c>
      <c r="I144" s="42"/>
      <c r="J144" s="42"/>
      <c r="K144" s="42"/>
      <c r="L144" s="42"/>
      <c r="M144" s="44"/>
      <c r="N144" s="45" t="str">
        <f>IFERROR(Miesiac_157[[#This Row],[Stawka]]/(Miesiac_157[[#This Row],[Trasa '[km']]]+Miesiac_157[[#This Row],[Podjazd '[km']]]),"-")</f>
        <v>-</v>
      </c>
      <c r="O144" s="42"/>
      <c r="Q144" s="51" t="s">
        <v>119</v>
      </c>
      <c r="R144" s="55"/>
      <c r="S144" s="52"/>
    </row>
    <row r="145" spans="8:19" s="27" customFormat="1" ht="15.75" x14ac:dyDescent="0.25">
      <c r="H145" s="43">
        <f t="shared" si="6"/>
        <v>45039</v>
      </c>
      <c r="I145" s="42"/>
      <c r="J145" s="42"/>
      <c r="K145" s="42"/>
      <c r="L145" s="42"/>
      <c r="M145" s="44"/>
      <c r="N145" s="45" t="str">
        <f>IFERROR(Miesiac_157[[#This Row],[Stawka]]/(Miesiac_157[[#This Row],[Trasa '[km']]]+Miesiac_157[[#This Row],[Podjazd '[km']]]),"-")</f>
        <v>-</v>
      </c>
      <c r="O145" s="42"/>
      <c r="Q145" s="51" t="s">
        <v>120</v>
      </c>
      <c r="R145" s="55"/>
      <c r="S145" s="52"/>
    </row>
    <row r="146" spans="8:19" s="27" customFormat="1" ht="15.75" x14ac:dyDescent="0.25">
      <c r="H146" s="43">
        <f t="shared" si="6"/>
        <v>45040</v>
      </c>
      <c r="I146" s="42"/>
      <c r="J146" s="42"/>
      <c r="K146" s="42"/>
      <c r="L146" s="42"/>
      <c r="M146" s="44"/>
      <c r="N146" s="45" t="str">
        <f>IFERROR(Miesiac_157[[#This Row],[Stawka]]/(Miesiac_157[[#This Row],[Trasa '[km']]]+Miesiac_157[[#This Row],[Podjazd '[km']]]),"-")</f>
        <v>-</v>
      </c>
      <c r="O146" s="42"/>
      <c r="Q146" s="51" t="s">
        <v>121</v>
      </c>
      <c r="R146" s="55"/>
      <c r="S146" s="52"/>
    </row>
    <row r="147" spans="8:19" s="27" customFormat="1" ht="15.75" x14ac:dyDescent="0.25">
      <c r="H147" s="43">
        <f t="shared" si="6"/>
        <v>45041</v>
      </c>
      <c r="I147" s="42"/>
      <c r="J147" s="42"/>
      <c r="K147" s="42"/>
      <c r="L147" s="42"/>
      <c r="M147" s="44"/>
      <c r="N147" s="45" t="str">
        <f>IFERROR(Miesiac_157[[#This Row],[Stawka]]/(Miesiac_157[[#This Row],[Trasa '[km']]]+Miesiac_157[[#This Row],[Podjazd '[km']]]),"-")</f>
        <v>-</v>
      </c>
      <c r="O147" s="42"/>
      <c r="Q147" s="51" t="s">
        <v>122</v>
      </c>
      <c r="R147" s="55"/>
      <c r="S147" s="52"/>
    </row>
    <row r="148" spans="8:19" s="27" customFormat="1" ht="18.75" x14ac:dyDescent="0.3">
      <c r="H148" s="43">
        <f t="shared" si="6"/>
        <v>45042</v>
      </c>
      <c r="I148" s="42"/>
      <c r="J148" s="42"/>
      <c r="K148" s="42"/>
      <c r="L148" s="42"/>
      <c r="M148" s="44"/>
      <c r="N148" s="45" t="str">
        <f>IFERROR(Miesiac_157[[#This Row],[Stawka]]/(Miesiac_157[[#This Row],[Trasa '[km']]]+Miesiac_157[[#This Row],[Podjazd '[km']]]),"-")</f>
        <v>-</v>
      </c>
      <c r="O148" s="42"/>
      <c r="Q148" s="28" t="s">
        <v>36</v>
      </c>
      <c r="R148" s="29">
        <f>SUBTOTAL(109,Koszty_4[Kwota PLN '[netto']])</f>
        <v>0</v>
      </c>
      <c r="S148" s="30">
        <f>SUBTOTAL(109,Koszty_4[Kwota € '[netto']])</f>
        <v>0</v>
      </c>
    </row>
    <row r="149" spans="8:19" s="27" customFormat="1" ht="15.75" x14ac:dyDescent="0.25">
      <c r="H149" s="43">
        <f t="shared" si="6"/>
        <v>45043</v>
      </c>
      <c r="I149" s="42"/>
      <c r="J149" s="42"/>
      <c r="K149" s="42"/>
      <c r="L149" s="42"/>
      <c r="M149" s="44"/>
      <c r="N149" s="45" t="str">
        <f>IFERROR(Miesiac_157[[#This Row],[Stawka]]/(Miesiac_157[[#This Row],[Trasa '[km']]]+Miesiac_157[[#This Row],[Podjazd '[km']]]),"-")</f>
        <v>-</v>
      </c>
      <c r="O149" s="42"/>
      <c r="Q149" s="1"/>
      <c r="R149" s="1"/>
      <c r="S149" s="1"/>
    </row>
    <row r="150" spans="8:19" s="27" customFormat="1" ht="15.75" x14ac:dyDescent="0.25">
      <c r="H150" s="50">
        <f>IF(H149&lt;&gt;"-",IF(MONTH(H149)=MONTH(H149+1),H149+1,"-"),"-")</f>
        <v>45044</v>
      </c>
      <c r="I150" s="42"/>
      <c r="J150" s="42"/>
      <c r="K150" s="42"/>
      <c r="L150" s="42"/>
      <c r="M150" s="44"/>
      <c r="N150" s="45" t="str">
        <f>IFERROR(Miesiac_157[[#This Row],[Stawka]]/(Miesiac_157[[#This Row],[Trasa '[km']]]+Miesiac_157[[#This Row],[Podjazd '[km']]]),"-")</f>
        <v>-</v>
      </c>
      <c r="O150" s="42"/>
      <c r="Q150" s="1"/>
      <c r="R150" s="1"/>
      <c r="S150" s="1"/>
    </row>
    <row r="151" spans="8:19" s="27" customFormat="1" ht="15.75" x14ac:dyDescent="0.25">
      <c r="H151" s="50">
        <f t="shared" ref="H151:H153" si="7">IF(H150&lt;&gt;"-",IF(MONTH(H150)=MONTH(H150+1),H150+1,"-"),"-")</f>
        <v>45045</v>
      </c>
      <c r="I151" s="42"/>
      <c r="J151" s="42"/>
      <c r="K151" s="42"/>
      <c r="L151" s="42"/>
      <c r="M151" s="44"/>
      <c r="N151" s="45" t="str">
        <f>IFERROR(Miesiac_157[[#This Row],[Stawka]]/(Miesiac_157[[#This Row],[Trasa '[km']]]+Miesiac_157[[#This Row],[Podjazd '[km']]]),"-")</f>
        <v>-</v>
      </c>
      <c r="O151" s="42"/>
      <c r="Q151" s="1"/>
      <c r="R151" s="1"/>
      <c r="S151" s="1"/>
    </row>
    <row r="152" spans="8:19" s="27" customFormat="1" ht="15.75" x14ac:dyDescent="0.25">
      <c r="H152" s="50">
        <f t="shared" si="7"/>
        <v>45046</v>
      </c>
      <c r="I152" s="42"/>
      <c r="J152" s="42"/>
      <c r="K152" s="42"/>
      <c r="L152" s="42"/>
      <c r="M152" s="44"/>
      <c r="N152" s="45" t="str">
        <f>IFERROR(Miesiac_157[[#This Row],[Stawka]]/(Miesiac_157[[#This Row],[Trasa '[km']]]+Miesiac_157[[#This Row],[Podjazd '[km']]]),"-")</f>
        <v>-</v>
      </c>
      <c r="O152" s="42"/>
      <c r="Q152" s="1"/>
      <c r="R152" s="1"/>
      <c r="S152" s="1"/>
    </row>
    <row r="153" spans="8:19" s="27" customFormat="1" ht="15.75" x14ac:dyDescent="0.25">
      <c r="H153" s="50" t="str">
        <f t="shared" si="7"/>
        <v>-</v>
      </c>
      <c r="I153" s="51"/>
      <c r="J153" s="51"/>
      <c r="K153" s="51"/>
      <c r="L153" s="51"/>
      <c r="M153" s="52"/>
      <c r="N153" s="53" t="str">
        <f>IFERROR(Miesiac_157[[#This Row],[Stawka]]/(Miesiac_157[[#This Row],[Trasa '[km']]]+Miesiac_157[[#This Row],[Podjazd '[km']]]),"-")</f>
        <v>-</v>
      </c>
      <c r="O153" s="51"/>
      <c r="Q153" s="31" t="s">
        <v>89</v>
      </c>
      <c r="R153" s="32"/>
      <c r="S153" s="33" t="s">
        <v>90</v>
      </c>
    </row>
    <row r="154" spans="8:19" ht="15.75" x14ac:dyDescent="0.25">
      <c r="Q154" s="31" t="s">
        <v>91</v>
      </c>
      <c r="R154" s="33"/>
      <c r="S154" s="33" t="s">
        <v>90</v>
      </c>
    </row>
    <row r="155" spans="8:19" ht="19.5" thickBot="1" x14ac:dyDescent="0.35">
      <c r="J155" s="80" t="s">
        <v>55</v>
      </c>
      <c r="K155" s="80">
        <f>SUM(Miesiac_157[Podjazd '[km']])</f>
        <v>0</v>
      </c>
      <c r="L155" s="80">
        <f>SUM(Miesiac_157[Trasa '[km']])</f>
        <v>0</v>
      </c>
      <c r="M155" s="81">
        <f>SUM(Miesiac_157[Stawka])</f>
        <v>0</v>
      </c>
      <c r="N155" s="82" t="str">
        <f>IFERROR(M155/(L155+K155),"-")</f>
        <v>-</v>
      </c>
      <c r="Q155" s="84" t="s">
        <v>92</v>
      </c>
      <c r="R155" s="85">
        <f>R154-R153</f>
        <v>0</v>
      </c>
      <c r="S155" s="85" t="s">
        <v>90</v>
      </c>
    </row>
    <row r="156" spans="8:19" ht="21.75" thickBot="1" x14ac:dyDescent="0.4">
      <c r="J156" s="80" t="s">
        <v>56</v>
      </c>
      <c r="K156" s="83"/>
      <c r="L156" s="149">
        <f>M155/B9</f>
        <v>0</v>
      </c>
      <c r="M156" s="149"/>
      <c r="N156" s="149"/>
      <c r="Q156" s="88" t="s">
        <v>110</v>
      </c>
      <c r="R156" s="89" t="str">
        <f>IFERROR(M155/R155,"-")</f>
        <v>-</v>
      </c>
      <c r="S156" s="90"/>
    </row>
    <row r="157" spans="8:19" x14ac:dyDescent="0.25"/>
    <row r="158" spans="8:19" ht="15.75" thickBot="1" x14ac:dyDescent="0.3"/>
    <row r="159" spans="8:19" ht="24" thickBot="1" x14ac:dyDescent="0.4">
      <c r="H159" s="150" t="s">
        <v>10</v>
      </c>
      <c r="I159" s="151"/>
      <c r="J159" s="87">
        <v>2023</v>
      </c>
    </row>
    <row r="160" spans="8:19" x14ac:dyDescent="0.25">
      <c r="H160" s="7">
        <f>MATCH($H159,{"styczeń";"luty";"marzec";"kwiecień";"maj";"czerwiec";"lipiec";"sierpień";"wrzesień";"październik";"listopad";"grudzień"},0)</f>
        <v>5</v>
      </c>
    </row>
    <row r="161" spans="8:19" ht="35.1" customHeight="1" x14ac:dyDescent="0.25">
      <c r="H161" s="77" t="s">
        <v>0</v>
      </c>
      <c r="I161" s="77" t="s">
        <v>1</v>
      </c>
      <c r="J161" s="77" t="s">
        <v>2</v>
      </c>
      <c r="K161" s="77" t="s">
        <v>4</v>
      </c>
      <c r="L161" s="77" t="s">
        <v>3</v>
      </c>
      <c r="M161" s="77" t="s">
        <v>114</v>
      </c>
      <c r="N161" s="77" t="s">
        <v>115</v>
      </c>
      <c r="O161" s="78" t="s">
        <v>19</v>
      </c>
      <c r="Q161" s="77" t="s">
        <v>93</v>
      </c>
      <c r="R161" s="77" t="s">
        <v>49</v>
      </c>
      <c r="S161" s="77" t="s">
        <v>48</v>
      </c>
    </row>
    <row r="162" spans="8:19" s="27" customFormat="1" ht="15.75" x14ac:dyDescent="0.25">
      <c r="H162" s="38">
        <f>DATE(J159,H160,1)</f>
        <v>45047</v>
      </c>
      <c r="I162" s="39"/>
      <c r="J162" s="39"/>
      <c r="K162" s="39"/>
      <c r="L162" s="39"/>
      <c r="M162" s="40"/>
      <c r="N162" s="41" t="str">
        <f>IFERROR(Miesiac_159[[#This Row],[Stawka]]/(Miesiac_159[[#This Row],[Trasa '[km']]]+Miesiac_159[[#This Row],[Podjazd '[km']]]),"-")</f>
        <v>-</v>
      </c>
      <c r="O162" s="42"/>
      <c r="Q162" s="51" t="s">
        <v>53</v>
      </c>
      <c r="R162" s="55"/>
      <c r="S162" s="52"/>
    </row>
    <row r="163" spans="8:19" s="27" customFormat="1" ht="15.75" x14ac:dyDescent="0.25">
      <c r="H163" s="43">
        <f>H162+1</f>
        <v>45048</v>
      </c>
      <c r="I163" s="42"/>
      <c r="J163" s="42"/>
      <c r="K163" s="42"/>
      <c r="L163" s="42"/>
      <c r="M163" s="44"/>
      <c r="N163" s="45" t="str">
        <f>IFERROR(Miesiac_159[[#This Row],[Stawka]]/(Miesiac_159[[#This Row],[Trasa '[km']]]+Miesiac_159[[#This Row],[Podjazd '[km']]]),"-")</f>
        <v>-</v>
      </c>
      <c r="O163" s="46"/>
      <c r="Q163" s="51" t="s">
        <v>54</v>
      </c>
      <c r="R163" s="55"/>
      <c r="S163" s="52"/>
    </row>
    <row r="164" spans="8:19" s="27" customFormat="1" ht="15.75" x14ac:dyDescent="0.25">
      <c r="H164" s="43">
        <f t="shared" ref="H164:H188" si="8">H163+1</f>
        <v>45049</v>
      </c>
      <c r="I164" s="42"/>
      <c r="J164" s="42"/>
      <c r="K164" s="42"/>
      <c r="L164" s="42"/>
      <c r="M164" s="44"/>
      <c r="N164" s="45" t="str">
        <f>IFERROR(Miesiac_159[[#This Row],[Stawka]]/(Miesiac_159[[#This Row],[Trasa '[km']]]+Miesiac_159[[#This Row],[Podjazd '[km']]]),"-")</f>
        <v>-</v>
      </c>
      <c r="O164" s="42"/>
      <c r="Q164" s="51" t="s">
        <v>37</v>
      </c>
      <c r="R164" s="55"/>
      <c r="S164" s="52"/>
    </row>
    <row r="165" spans="8:19" s="27" customFormat="1" ht="15.75" x14ac:dyDescent="0.25">
      <c r="H165" s="43">
        <f t="shared" si="8"/>
        <v>45050</v>
      </c>
      <c r="I165" s="42"/>
      <c r="J165" s="42"/>
      <c r="K165" s="42"/>
      <c r="L165" s="42"/>
      <c r="M165" s="44"/>
      <c r="N165" s="45" t="str">
        <f>IFERROR(Miesiac_159[[#This Row],[Stawka]]/(Miesiac_159[[#This Row],[Trasa '[km']]]+Miesiac_159[[#This Row],[Podjazd '[km']]]),"-")</f>
        <v>-</v>
      </c>
      <c r="O165" s="39"/>
      <c r="Q165" s="51" t="s">
        <v>43</v>
      </c>
      <c r="R165" s="55"/>
      <c r="S165" s="52"/>
    </row>
    <row r="166" spans="8:19" s="27" customFormat="1" ht="15.75" x14ac:dyDescent="0.25">
      <c r="H166" s="43">
        <f t="shared" si="8"/>
        <v>45051</v>
      </c>
      <c r="I166" s="42"/>
      <c r="J166" s="42"/>
      <c r="K166" s="42"/>
      <c r="L166" s="42"/>
      <c r="M166" s="44"/>
      <c r="N166" s="45" t="str">
        <f>IFERROR(Miesiac_159[[#This Row],[Stawka]]/(Miesiac_159[[#This Row],[Trasa '[km']]]+Miesiac_159[[#This Row],[Podjazd '[km']]]),"-")</f>
        <v>-</v>
      </c>
      <c r="O166" s="39"/>
      <c r="Q166" s="51" t="s">
        <v>57</v>
      </c>
      <c r="R166" s="55"/>
      <c r="S166" s="52"/>
    </row>
    <row r="167" spans="8:19" s="27" customFormat="1" ht="15.75" x14ac:dyDescent="0.25">
      <c r="H167" s="43">
        <f t="shared" si="8"/>
        <v>45052</v>
      </c>
      <c r="I167" s="42"/>
      <c r="J167" s="42"/>
      <c r="K167" s="42"/>
      <c r="L167" s="42"/>
      <c r="M167" s="44"/>
      <c r="N167" s="45" t="str">
        <f>IFERROR(Miesiac_159[[#This Row],[Stawka]]/(Miesiac_159[[#This Row],[Trasa '[km']]]+Miesiac_159[[#This Row],[Podjazd '[km']]]),"-")</f>
        <v>-</v>
      </c>
      <c r="O167" s="42"/>
      <c r="Q167" s="51" t="s">
        <v>58</v>
      </c>
      <c r="R167" s="55"/>
      <c r="S167" s="52"/>
    </row>
    <row r="168" spans="8:19" s="27" customFormat="1" ht="15.75" x14ac:dyDescent="0.25">
      <c r="H168" s="43">
        <f t="shared" si="8"/>
        <v>45053</v>
      </c>
      <c r="I168" s="42"/>
      <c r="J168" s="42"/>
      <c r="K168" s="42"/>
      <c r="L168" s="42"/>
      <c r="M168" s="44"/>
      <c r="N168" s="45" t="str">
        <f>IFERROR(Miesiac_159[[#This Row],[Stawka]]/(Miesiac_159[[#This Row],[Trasa '[km']]]+Miesiac_159[[#This Row],[Podjazd '[km']]]),"-")</f>
        <v>-</v>
      </c>
      <c r="O168" s="42"/>
      <c r="Q168" s="51" t="s">
        <v>51</v>
      </c>
      <c r="R168" s="55"/>
      <c r="S168" s="52"/>
    </row>
    <row r="169" spans="8:19" s="27" customFormat="1" ht="15.75" x14ac:dyDescent="0.25">
      <c r="H169" s="43">
        <f t="shared" si="8"/>
        <v>45054</v>
      </c>
      <c r="I169" s="42"/>
      <c r="J169" s="42"/>
      <c r="K169" s="42"/>
      <c r="L169" s="42"/>
      <c r="M169" s="44"/>
      <c r="N169" s="45" t="str">
        <f>IFERROR(Miesiac_159[[#This Row],[Stawka]]/(Miesiac_159[[#This Row],[Trasa '[km']]]+Miesiac_159[[#This Row],[Podjazd '[km']]]),"-")</f>
        <v>-</v>
      </c>
      <c r="O169" s="42"/>
      <c r="Q169" s="51" t="s">
        <v>95</v>
      </c>
      <c r="R169" s="55"/>
      <c r="S169" s="52"/>
    </row>
    <row r="170" spans="8:19" s="27" customFormat="1" ht="15.75" x14ac:dyDescent="0.25">
      <c r="H170" s="43">
        <f t="shared" si="8"/>
        <v>45055</v>
      </c>
      <c r="I170" s="42"/>
      <c r="J170" s="42"/>
      <c r="K170" s="42"/>
      <c r="L170" s="42"/>
      <c r="M170" s="44"/>
      <c r="N170" s="45" t="str">
        <f>IFERROR(Miesiac_159[[#This Row],[Stawka]]/(Miesiac_159[[#This Row],[Trasa '[km']]]+Miesiac_159[[#This Row],[Podjazd '[km']]]),"-")</f>
        <v>-</v>
      </c>
      <c r="O170" s="42"/>
      <c r="Q170" s="51" t="s">
        <v>50</v>
      </c>
      <c r="R170" s="55"/>
      <c r="S170" s="52"/>
    </row>
    <row r="171" spans="8:19" s="27" customFormat="1" ht="15.75" x14ac:dyDescent="0.25">
      <c r="H171" s="43">
        <f t="shared" si="8"/>
        <v>45056</v>
      </c>
      <c r="I171" s="42"/>
      <c r="J171" s="42"/>
      <c r="K171" s="42"/>
      <c r="L171" s="42"/>
      <c r="M171" s="44"/>
      <c r="N171" s="45" t="str">
        <f>IFERROR(Miesiac_159[[#This Row],[Stawka]]/(Miesiac_159[[#This Row],[Trasa '[km']]]+Miesiac_159[[#This Row],[Podjazd '[km']]]),"-")</f>
        <v>-</v>
      </c>
      <c r="O171" s="42"/>
      <c r="Q171" s="51" t="s">
        <v>52</v>
      </c>
      <c r="R171" s="55"/>
      <c r="S171" s="52"/>
    </row>
    <row r="172" spans="8:19" s="27" customFormat="1" ht="15.75" x14ac:dyDescent="0.25">
      <c r="H172" s="43">
        <f t="shared" si="8"/>
        <v>45057</v>
      </c>
      <c r="I172" s="42"/>
      <c r="J172" s="42"/>
      <c r="K172" s="42"/>
      <c r="L172" s="42"/>
      <c r="M172" s="44"/>
      <c r="N172" s="45" t="str">
        <f>IFERROR(Miesiac_159[[#This Row],[Stawka]]/(Miesiac_159[[#This Row],[Trasa '[km']]]+Miesiac_159[[#This Row],[Podjazd '[km']]]),"-")</f>
        <v>-</v>
      </c>
      <c r="O172" s="42"/>
      <c r="Q172" s="51" t="s">
        <v>94</v>
      </c>
      <c r="R172" s="55"/>
      <c r="S172" s="52"/>
    </row>
    <row r="173" spans="8:19" s="27" customFormat="1" ht="15.75" x14ac:dyDescent="0.25">
      <c r="H173" s="43">
        <f t="shared" si="8"/>
        <v>45058</v>
      </c>
      <c r="I173" s="42"/>
      <c r="J173" s="42"/>
      <c r="K173" s="42"/>
      <c r="L173" s="42"/>
      <c r="M173" s="44"/>
      <c r="N173" s="45" t="str">
        <f>IFERROR(Miesiac_159[[#This Row],[Stawka]]/(Miesiac_159[[#This Row],[Trasa '[km']]]+Miesiac_159[[#This Row],[Podjazd '[km']]]),"-")</f>
        <v>-</v>
      </c>
      <c r="O173" s="42"/>
      <c r="Q173" s="51" t="s">
        <v>96</v>
      </c>
      <c r="R173" s="55"/>
      <c r="S173" s="52"/>
    </row>
    <row r="174" spans="8:19" s="27" customFormat="1" ht="15.75" x14ac:dyDescent="0.25">
      <c r="H174" s="43">
        <f t="shared" si="8"/>
        <v>45059</v>
      </c>
      <c r="I174" s="42"/>
      <c r="J174" s="42"/>
      <c r="K174" s="42"/>
      <c r="L174" s="42"/>
      <c r="M174" s="44"/>
      <c r="N174" s="45" t="str">
        <f>IFERROR(Miesiac_159[[#This Row],[Stawka]]/(Miesiac_159[[#This Row],[Trasa '[km']]]+Miesiac_159[[#This Row],[Podjazd '[km']]]),"-")</f>
        <v>-</v>
      </c>
      <c r="O174" s="42"/>
      <c r="Q174" s="51" t="s">
        <v>97</v>
      </c>
      <c r="R174" s="55"/>
      <c r="S174" s="52"/>
    </row>
    <row r="175" spans="8:19" s="27" customFormat="1" ht="15.75" x14ac:dyDescent="0.25">
      <c r="H175" s="43">
        <f t="shared" si="8"/>
        <v>45060</v>
      </c>
      <c r="I175" s="42"/>
      <c r="J175" s="42"/>
      <c r="K175" s="42"/>
      <c r="L175" s="42"/>
      <c r="M175" s="44"/>
      <c r="N175" s="45" t="str">
        <f>IFERROR(Miesiac_159[[#This Row],[Stawka]]/(Miesiac_159[[#This Row],[Trasa '[km']]]+Miesiac_159[[#This Row],[Podjazd '[km']]]),"-")</f>
        <v>-</v>
      </c>
      <c r="O175" s="42"/>
      <c r="Q175" s="51" t="s">
        <v>98</v>
      </c>
      <c r="R175" s="55"/>
      <c r="S175" s="52"/>
    </row>
    <row r="176" spans="8:19" s="27" customFormat="1" ht="15.75" x14ac:dyDescent="0.25">
      <c r="H176" s="43">
        <f t="shared" si="8"/>
        <v>45061</v>
      </c>
      <c r="I176" s="42"/>
      <c r="J176" s="42"/>
      <c r="K176" s="42"/>
      <c r="L176" s="42"/>
      <c r="M176" s="44"/>
      <c r="N176" s="45" t="str">
        <f>IFERROR(Miesiac_159[[#This Row],[Stawka]]/(Miesiac_159[[#This Row],[Trasa '[km']]]+Miesiac_159[[#This Row],[Podjazd '[km']]]),"-")</f>
        <v>-</v>
      </c>
      <c r="O176" s="42"/>
      <c r="Q176" s="51" t="s">
        <v>32</v>
      </c>
      <c r="R176" s="55"/>
      <c r="S176" s="52"/>
    </row>
    <row r="177" spans="8:19" s="27" customFormat="1" ht="15.75" x14ac:dyDescent="0.25">
      <c r="H177" s="43">
        <f t="shared" si="8"/>
        <v>45062</v>
      </c>
      <c r="I177" s="42"/>
      <c r="J177" s="42"/>
      <c r="K177" s="42"/>
      <c r="L177" s="42"/>
      <c r="M177" s="44"/>
      <c r="N177" s="45" t="str">
        <f>IFERROR(Miesiac_159[[#This Row],[Stawka]]/(Miesiac_159[[#This Row],[Trasa '[km']]]+Miesiac_159[[#This Row],[Podjazd '[km']]]),"-")</f>
        <v>-</v>
      </c>
      <c r="O177" s="42"/>
      <c r="Q177" s="51" t="s">
        <v>33</v>
      </c>
      <c r="R177" s="55"/>
      <c r="S177" s="52"/>
    </row>
    <row r="178" spans="8:19" s="27" customFormat="1" ht="15.75" x14ac:dyDescent="0.25">
      <c r="H178" s="43">
        <f t="shared" si="8"/>
        <v>45063</v>
      </c>
      <c r="I178" s="42"/>
      <c r="J178" s="42"/>
      <c r="K178" s="42"/>
      <c r="L178" s="42"/>
      <c r="M178" s="44"/>
      <c r="N178" s="45" t="str">
        <f>IFERROR(Miesiac_159[[#This Row],[Stawka]]/(Miesiac_159[[#This Row],[Trasa '[km']]]+Miesiac_159[[#This Row],[Podjazd '[km']]]),"-")</f>
        <v>-</v>
      </c>
      <c r="O178" s="42"/>
      <c r="Q178" s="51" t="s">
        <v>34</v>
      </c>
      <c r="R178" s="55"/>
      <c r="S178" s="52"/>
    </row>
    <row r="179" spans="8:19" s="27" customFormat="1" ht="15.75" x14ac:dyDescent="0.25">
      <c r="H179" s="43">
        <f t="shared" si="8"/>
        <v>45064</v>
      </c>
      <c r="I179" s="42"/>
      <c r="J179" s="42"/>
      <c r="K179" s="42"/>
      <c r="L179" s="42"/>
      <c r="M179" s="44"/>
      <c r="N179" s="45" t="str">
        <f>IFERROR(Miesiac_159[[#This Row],[Stawka]]/(Miesiac_159[[#This Row],[Trasa '[km']]]+Miesiac_159[[#This Row],[Podjazd '[km']]]),"-")</f>
        <v>-</v>
      </c>
      <c r="O179" s="42"/>
      <c r="Q179" s="51" t="s">
        <v>35</v>
      </c>
      <c r="R179" s="55"/>
      <c r="S179" s="52"/>
    </row>
    <row r="180" spans="8:19" s="27" customFormat="1" ht="15.75" x14ac:dyDescent="0.25">
      <c r="H180" s="43">
        <f t="shared" si="8"/>
        <v>45065</v>
      </c>
      <c r="I180" s="42"/>
      <c r="J180" s="42"/>
      <c r="K180" s="42"/>
      <c r="L180" s="42"/>
      <c r="M180" s="44"/>
      <c r="N180" s="45" t="str">
        <f>IFERROR(Miesiac_159[[#This Row],[Stawka]]/(Miesiac_159[[#This Row],[Trasa '[km']]]+Miesiac_159[[#This Row],[Podjazd '[km']]]),"-")</f>
        <v>-</v>
      </c>
      <c r="O180" s="42"/>
      <c r="Q180" s="51" t="s">
        <v>116</v>
      </c>
      <c r="R180" s="55"/>
      <c r="S180" s="52"/>
    </row>
    <row r="181" spans="8:19" s="27" customFormat="1" ht="15.75" x14ac:dyDescent="0.25">
      <c r="H181" s="43">
        <f t="shared" si="8"/>
        <v>45066</v>
      </c>
      <c r="I181" s="42"/>
      <c r="J181" s="42"/>
      <c r="K181" s="42"/>
      <c r="L181" s="42"/>
      <c r="M181" s="44"/>
      <c r="N181" s="45" t="str">
        <f>IFERROR(Miesiac_159[[#This Row],[Stawka]]/(Miesiac_159[[#This Row],[Trasa '[km']]]+Miesiac_159[[#This Row],[Podjazd '[km']]]),"-")</f>
        <v>-</v>
      </c>
      <c r="O181" s="42"/>
      <c r="Q181" s="51" t="s">
        <v>117</v>
      </c>
      <c r="R181" s="55"/>
      <c r="S181" s="52"/>
    </row>
    <row r="182" spans="8:19" s="27" customFormat="1" ht="15.75" x14ac:dyDescent="0.25">
      <c r="H182" s="43">
        <f t="shared" si="8"/>
        <v>45067</v>
      </c>
      <c r="I182" s="42"/>
      <c r="J182" s="42"/>
      <c r="K182" s="42"/>
      <c r="L182" s="42"/>
      <c r="M182" s="44"/>
      <c r="N182" s="45" t="str">
        <f>IFERROR(Miesiac_159[[#This Row],[Stawka]]/(Miesiac_159[[#This Row],[Trasa '[km']]]+Miesiac_159[[#This Row],[Podjazd '[km']]]),"-")</f>
        <v>-</v>
      </c>
      <c r="O182" s="42"/>
      <c r="Q182" s="51" t="s">
        <v>118</v>
      </c>
      <c r="R182" s="55"/>
      <c r="S182" s="52"/>
    </row>
    <row r="183" spans="8:19" s="27" customFormat="1" ht="15.75" x14ac:dyDescent="0.25">
      <c r="H183" s="43">
        <f t="shared" si="8"/>
        <v>45068</v>
      </c>
      <c r="I183" s="42"/>
      <c r="J183" s="42"/>
      <c r="K183" s="42"/>
      <c r="L183" s="42"/>
      <c r="M183" s="44"/>
      <c r="N183" s="45" t="str">
        <f>IFERROR(Miesiac_159[[#This Row],[Stawka]]/(Miesiac_159[[#This Row],[Trasa '[km']]]+Miesiac_159[[#This Row],[Podjazd '[km']]]),"-")</f>
        <v>-</v>
      </c>
      <c r="O183" s="42"/>
      <c r="Q183" s="51" t="s">
        <v>119</v>
      </c>
      <c r="R183" s="55"/>
      <c r="S183" s="52"/>
    </row>
    <row r="184" spans="8:19" s="27" customFormat="1" ht="15.75" x14ac:dyDescent="0.25">
      <c r="H184" s="43">
        <f t="shared" si="8"/>
        <v>45069</v>
      </c>
      <c r="I184" s="42"/>
      <c r="J184" s="42"/>
      <c r="K184" s="42"/>
      <c r="L184" s="42"/>
      <c r="M184" s="44"/>
      <c r="N184" s="45" t="str">
        <f>IFERROR(Miesiac_159[[#This Row],[Stawka]]/(Miesiac_159[[#This Row],[Trasa '[km']]]+Miesiac_159[[#This Row],[Podjazd '[km']]]),"-")</f>
        <v>-</v>
      </c>
      <c r="O184" s="42"/>
      <c r="Q184" s="51" t="s">
        <v>120</v>
      </c>
      <c r="R184" s="55"/>
      <c r="S184" s="52"/>
    </row>
    <row r="185" spans="8:19" s="27" customFormat="1" ht="15.75" x14ac:dyDescent="0.25">
      <c r="H185" s="43">
        <f t="shared" si="8"/>
        <v>45070</v>
      </c>
      <c r="I185" s="42"/>
      <c r="J185" s="42"/>
      <c r="K185" s="42"/>
      <c r="L185" s="42"/>
      <c r="M185" s="44"/>
      <c r="N185" s="45" t="str">
        <f>IFERROR(Miesiac_159[[#This Row],[Stawka]]/(Miesiac_159[[#This Row],[Trasa '[km']]]+Miesiac_159[[#This Row],[Podjazd '[km']]]),"-")</f>
        <v>-</v>
      </c>
      <c r="O185" s="42"/>
      <c r="Q185" s="51" t="s">
        <v>121</v>
      </c>
      <c r="R185" s="55"/>
      <c r="S185" s="52"/>
    </row>
    <row r="186" spans="8:19" s="27" customFormat="1" ht="15.75" x14ac:dyDescent="0.25">
      <c r="H186" s="43">
        <f t="shared" si="8"/>
        <v>45071</v>
      </c>
      <c r="I186" s="42"/>
      <c r="J186" s="42"/>
      <c r="K186" s="42"/>
      <c r="L186" s="42"/>
      <c r="M186" s="44"/>
      <c r="N186" s="45" t="str">
        <f>IFERROR(Miesiac_159[[#This Row],[Stawka]]/(Miesiac_159[[#This Row],[Trasa '[km']]]+Miesiac_159[[#This Row],[Podjazd '[km']]]),"-")</f>
        <v>-</v>
      </c>
      <c r="O186" s="42"/>
      <c r="Q186" s="51" t="s">
        <v>122</v>
      </c>
      <c r="R186" s="55"/>
      <c r="S186" s="52"/>
    </row>
    <row r="187" spans="8:19" s="27" customFormat="1" ht="18.75" x14ac:dyDescent="0.3">
      <c r="H187" s="43">
        <f t="shared" si="8"/>
        <v>45072</v>
      </c>
      <c r="I187" s="42"/>
      <c r="J187" s="42"/>
      <c r="K187" s="42"/>
      <c r="L187" s="42"/>
      <c r="M187" s="44"/>
      <c r="N187" s="45" t="str">
        <f>IFERROR(Miesiac_159[[#This Row],[Stawka]]/(Miesiac_159[[#This Row],[Trasa '[km']]]+Miesiac_159[[#This Row],[Podjazd '[km']]]),"-")</f>
        <v>-</v>
      </c>
      <c r="O187" s="42"/>
      <c r="Q187" s="28" t="s">
        <v>36</v>
      </c>
      <c r="R187" s="29">
        <f>SUBTOTAL(109,Koszty_5[Kwota PLN '[netto']])</f>
        <v>0</v>
      </c>
      <c r="S187" s="30">
        <f>SUBTOTAL(109,Koszty_5[Kwota € '[netto']])</f>
        <v>0</v>
      </c>
    </row>
    <row r="188" spans="8:19" s="27" customFormat="1" ht="15.75" x14ac:dyDescent="0.25">
      <c r="H188" s="43">
        <f t="shared" si="8"/>
        <v>45073</v>
      </c>
      <c r="I188" s="42"/>
      <c r="J188" s="42"/>
      <c r="K188" s="42"/>
      <c r="L188" s="42"/>
      <c r="M188" s="44"/>
      <c r="N188" s="45" t="str">
        <f>IFERROR(Miesiac_159[[#This Row],[Stawka]]/(Miesiac_159[[#This Row],[Trasa '[km']]]+Miesiac_159[[#This Row],[Podjazd '[km']]]),"-")</f>
        <v>-</v>
      </c>
      <c r="O188" s="42"/>
      <c r="Q188" s="1"/>
      <c r="R188" s="1"/>
      <c r="S188" s="1"/>
    </row>
    <row r="189" spans="8:19" s="27" customFormat="1" ht="15.75" x14ac:dyDescent="0.25">
      <c r="H189" s="50">
        <f>IF(H188&lt;&gt;"-",IF(MONTH(H188)=MONTH(H188+1),H188+1,"-"),"-")</f>
        <v>45074</v>
      </c>
      <c r="I189" s="42"/>
      <c r="J189" s="42"/>
      <c r="K189" s="42"/>
      <c r="L189" s="42"/>
      <c r="M189" s="44"/>
      <c r="N189" s="45" t="str">
        <f>IFERROR(Miesiac_159[[#This Row],[Stawka]]/(Miesiac_159[[#This Row],[Trasa '[km']]]+Miesiac_159[[#This Row],[Podjazd '[km']]]),"-")</f>
        <v>-</v>
      </c>
      <c r="O189" s="42"/>
      <c r="Q189" s="1"/>
      <c r="R189" s="1"/>
      <c r="S189" s="1"/>
    </row>
    <row r="190" spans="8:19" s="27" customFormat="1" ht="15.75" x14ac:dyDescent="0.25">
      <c r="H190" s="50">
        <f t="shared" ref="H190:H192" si="9">IF(H189&lt;&gt;"-",IF(MONTH(H189)=MONTH(H189+1),H189+1,"-"),"-")</f>
        <v>45075</v>
      </c>
      <c r="I190" s="42"/>
      <c r="J190" s="42"/>
      <c r="K190" s="42"/>
      <c r="L190" s="42"/>
      <c r="M190" s="44"/>
      <c r="N190" s="45" t="str">
        <f>IFERROR(Miesiac_159[[#This Row],[Stawka]]/(Miesiac_159[[#This Row],[Trasa '[km']]]+Miesiac_159[[#This Row],[Podjazd '[km']]]),"-")</f>
        <v>-</v>
      </c>
      <c r="O190" s="42"/>
      <c r="Q190" s="1"/>
      <c r="R190" s="1"/>
      <c r="S190" s="1"/>
    </row>
    <row r="191" spans="8:19" s="27" customFormat="1" ht="15.75" x14ac:dyDescent="0.25">
      <c r="H191" s="50">
        <f t="shared" si="9"/>
        <v>45076</v>
      </c>
      <c r="I191" s="42"/>
      <c r="J191" s="42"/>
      <c r="K191" s="42"/>
      <c r="L191" s="42"/>
      <c r="M191" s="44"/>
      <c r="N191" s="45" t="str">
        <f>IFERROR(Miesiac_159[[#This Row],[Stawka]]/(Miesiac_159[[#This Row],[Trasa '[km']]]+Miesiac_159[[#This Row],[Podjazd '[km']]]),"-")</f>
        <v>-</v>
      </c>
      <c r="O191" s="42"/>
      <c r="Q191" s="1"/>
      <c r="R191" s="1"/>
      <c r="S191" s="1"/>
    </row>
    <row r="192" spans="8:19" s="27" customFormat="1" ht="15.75" x14ac:dyDescent="0.25">
      <c r="H192" s="50">
        <f t="shared" si="9"/>
        <v>45077</v>
      </c>
      <c r="I192" s="51"/>
      <c r="J192" s="51"/>
      <c r="K192" s="51"/>
      <c r="L192" s="51"/>
      <c r="M192" s="52"/>
      <c r="N192" s="53" t="str">
        <f>IFERROR(Miesiac_159[[#This Row],[Stawka]]/(Miesiac_159[[#This Row],[Trasa '[km']]]+Miesiac_159[[#This Row],[Podjazd '[km']]]),"-")</f>
        <v>-</v>
      </c>
      <c r="O192" s="51"/>
      <c r="Q192" s="31" t="s">
        <v>89</v>
      </c>
      <c r="R192" s="32"/>
      <c r="S192" s="33" t="s">
        <v>90</v>
      </c>
    </row>
    <row r="193" spans="8:19" ht="15.75" x14ac:dyDescent="0.25">
      <c r="Q193" s="31" t="s">
        <v>91</v>
      </c>
      <c r="R193" s="33"/>
      <c r="S193" s="33" t="s">
        <v>90</v>
      </c>
    </row>
    <row r="194" spans="8:19" ht="19.5" thickBot="1" x14ac:dyDescent="0.35">
      <c r="J194" s="80" t="s">
        <v>55</v>
      </c>
      <c r="K194" s="80">
        <f>SUM(Miesiac_159[Podjazd '[km']])</f>
        <v>0</v>
      </c>
      <c r="L194" s="80">
        <f>SUM(Miesiac_159[Trasa '[km']])</f>
        <v>0</v>
      </c>
      <c r="M194" s="81">
        <f>SUM(Miesiac_159[Stawka])</f>
        <v>0</v>
      </c>
      <c r="N194" s="82" t="str">
        <f>IFERROR(M194/(L194+K194),"-")</f>
        <v>-</v>
      </c>
      <c r="Q194" s="84" t="s">
        <v>92</v>
      </c>
      <c r="R194" s="85">
        <f>R193-R192</f>
        <v>0</v>
      </c>
      <c r="S194" s="85" t="s">
        <v>90</v>
      </c>
    </row>
    <row r="195" spans="8:19" ht="21.75" thickBot="1" x14ac:dyDescent="0.4">
      <c r="J195" s="80" t="s">
        <v>56</v>
      </c>
      <c r="K195" s="83"/>
      <c r="L195" s="149">
        <f>M194/B10</f>
        <v>0</v>
      </c>
      <c r="M195" s="149"/>
      <c r="N195" s="149"/>
      <c r="Q195" s="88" t="s">
        <v>110</v>
      </c>
      <c r="R195" s="89" t="str">
        <f>IFERROR(M194/R194,"-")</f>
        <v>-</v>
      </c>
      <c r="S195" s="90"/>
    </row>
    <row r="196" spans="8:19" x14ac:dyDescent="0.25"/>
    <row r="197" spans="8:19" ht="15.75" thickBot="1" x14ac:dyDescent="0.3"/>
    <row r="198" spans="8:19" ht="24" thickBot="1" x14ac:dyDescent="0.4">
      <c r="H198" s="150" t="s">
        <v>11</v>
      </c>
      <c r="I198" s="151"/>
      <c r="J198" s="87">
        <v>2023</v>
      </c>
    </row>
    <row r="199" spans="8:19" x14ac:dyDescent="0.25">
      <c r="H199" s="7">
        <f>MATCH($H198,{"styczeń";"luty";"marzec";"kwiecień";"maj";"czerwiec";"lipiec";"sierpień";"wrzesień";"październik";"listopad";"grudzień"},0)</f>
        <v>6</v>
      </c>
    </row>
    <row r="200" spans="8:19" ht="35.1" customHeight="1" x14ac:dyDescent="0.25">
      <c r="H200" s="77" t="s">
        <v>0</v>
      </c>
      <c r="I200" s="77" t="s">
        <v>1</v>
      </c>
      <c r="J200" s="77" t="s">
        <v>2</v>
      </c>
      <c r="K200" s="77" t="s">
        <v>4</v>
      </c>
      <c r="L200" s="77" t="s">
        <v>3</v>
      </c>
      <c r="M200" s="77" t="s">
        <v>114</v>
      </c>
      <c r="N200" s="77" t="s">
        <v>115</v>
      </c>
      <c r="O200" s="78" t="s">
        <v>19</v>
      </c>
      <c r="Q200" s="77" t="s">
        <v>93</v>
      </c>
      <c r="R200" s="77" t="s">
        <v>49</v>
      </c>
      <c r="S200" s="77" t="s">
        <v>48</v>
      </c>
    </row>
    <row r="201" spans="8:19" s="27" customFormat="1" ht="15.75" x14ac:dyDescent="0.25">
      <c r="H201" s="38">
        <f>DATE(J198,H199,1)</f>
        <v>45078</v>
      </c>
      <c r="I201" s="39"/>
      <c r="J201" s="39"/>
      <c r="K201" s="39"/>
      <c r="L201" s="39"/>
      <c r="M201" s="40"/>
      <c r="N201" s="41" t="str">
        <f>IFERROR(Miesiac_161[[#This Row],[Stawka]]/(Miesiac_161[[#This Row],[Trasa '[km']]]+Miesiac_161[[#This Row],[Podjazd '[km']]]),"-")</f>
        <v>-</v>
      </c>
      <c r="O201" s="42"/>
      <c r="Q201" s="51" t="s">
        <v>53</v>
      </c>
      <c r="R201" s="55"/>
      <c r="S201" s="52"/>
    </row>
    <row r="202" spans="8:19" s="27" customFormat="1" ht="15.75" x14ac:dyDescent="0.25">
      <c r="H202" s="43">
        <f>H201+1</f>
        <v>45079</v>
      </c>
      <c r="I202" s="42"/>
      <c r="J202" s="42"/>
      <c r="K202" s="42"/>
      <c r="L202" s="42"/>
      <c r="M202" s="44"/>
      <c r="N202" s="45" t="str">
        <f>IFERROR(Miesiac_161[[#This Row],[Stawka]]/(Miesiac_161[[#This Row],[Trasa '[km']]]+Miesiac_161[[#This Row],[Podjazd '[km']]]),"-")</f>
        <v>-</v>
      </c>
      <c r="O202" s="46"/>
      <c r="Q202" s="51" t="s">
        <v>54</v>
      </c>
      <c r="R202" s="55"/>
      <c r="S202" s="52"/>
    </row>
    <row r="203" spans="8:19" s="27" customFormat="1" ht="15.75" x14ac:dyDescent="0.25">
      <c r="H203" s="43">
        <f t="shared" ref="H203:H227" si="10">H202+1</f>
        <v>45080</v>
      </c>
      <c r="I203" s="42"/>
      <c r="J203" s="42"/>
      <c r="K203" s="42"/>
      <c r="L203" s="42"/>
      <c r="M203" s="44"/>
      <c r="N203" s="45" t="str">
        <f>IFERROR(Miesiac_161[[#This Row],[Stawka]]/(Miesiac_161[[#This Row],[Trasa '[km']]]+Miesiac_161[[#This Row],[Podjazd '[km']]]),"-")</f>
        <v>-</v>
      </c>
      <c r="O203" s="42"/>
      <c r="Q203" s="51" t="s">
        <v>37</v>
      </c>
      <c r="R203" s="55"/>
      <c r="S203" s="52"/>
    </row>
    <row r="204" spans="8:19" s="27" customFormat="1" ht="15.75" x14ac:dyDescent="0.25">
      <c r="H204" s="43">
        <f t="shared" si="10"/>
        <v>45081</v>
      </c>
      <c r="I204" s="42"/>
      <c r="J204" s="42"/>
      <c r="K204" s="42"/>
      <c r="L204" s="42"/>
      <c r="M204" s="44"/>
      <c r="N204" s="45" t="str">
        <f>IFERROR(Miesiac_161[[#This Row],[Stawka]]/(Miesiac_161[[#This Row],[Trasa '[km']]]+Miesiac_161[[#This Row],[Podjazd '[km']]]),"-")</f>
        <v>-</v>
      </c>
      <c r="O204" s="39"/>
      <c r="Q204" s="51" t="s">
        <v>43</v>
      </c>
      <c r="R204" s="55"/>
      <c r="S204" s="52"/>
    </row>
    <row r="205" spans="8:19" s="27" customFormat="1" ht="15.75" x14ac:dyDescent="0.25">
      <c r="H205" s="43">
        <f t="shared" si="10"/>
        <v>45082</v>
      </c>
      <c r="I205" s="42"/>
      <c r="J205" s="42"/>
      <c r="K205" s="42"/>
      <c r="L205" s="42"/>
      <c r="M205" s="44"/>
      <c r="N205" s="45" t="str">
        <f>IFERROR(Miesiac_161[[#This Row],[Stawka]]/(Miesiac_161[[#This Row],[Trasa '[km']]]+Miesiac_161[[#This Row],[Podjazd '[km']]]),"-")</f>
        <v>-</v>
      </c>
      <c r="O205" s="39"/>
      <c r="Q205" s="51" t="s">
        <v>57</v>
      </c>
      <c r="R205" s="55"/>
      <c r="S205" s="52"/>
    </row>
    <row r="206" spans="8:19" s="27" customFormat="1" ht="15.75" x14ac:dyDescent="0.25">
      <c r="H206" s="43">
        <f t="shared" si="10"/>
        <v>45083</v>
      </c>
      <c r="I206" s="42"/>
      <c r="J206" s="42"/>
      <c r="K206" s="42"/>
      <c r="L206" s="42"/>
      <c r="M206" s="44"/>
      <c r="N206" s="45" t="str">
        <f>IFERROR(Miesiac_161[[#This Row],[Stawka]]/(Miesiac_161[[#This Row],[Trasa '[km']]]+Miesiac_161[[#This Row],[Podjazd '[km']]]),"-")</f>
        <v>-</v>
      </c>
      <c r="O206" s="42"/>
      <c r="Q206" s="51" t="s">
        <v>58</v>
      </c>
      <c r="R206" s="55"/>
      <c r="S206" s="52"/>
    </row>
    <row r="207" spans="8:19" s="27" customFormat="1" ht="15.75" x14ac:dyDescent="0.25">
      <c r="H207" s="43">
        <f t="shared" si="10"/>
        <v>45084</v>
      </c>
      <c r="I207" s="42"/>
      <c r="J207" s="42"/>
      <c r="K207" s="42"/>
      <c r="L207" s="42"/>
      <c r="M207" s="44"/>
      <c r="N207" s="45" t="str">
        <f>IFERROR(Miesiac_161[[#This Row],[Stawka]]/(Miesiac_161[[#This Row],[Trasa '[km']]]+Miesiac_161[[#This Row],[Podjazd '[km']]]),"-")</f>
        <v>-</v>
      </c>
      <c r="O207" s="42"/>
      <c r="Q207" s="51" t="s">
        <v>51</v>
      </c>
      <c r="R207" s="55"/>
      <c r="S207" s="52"/>
    </row>
    <row r="208" spans="8:19" s="27" customFormat="1" ht="15.75" x14ac:dyDescent="0.25">
      <c r="H208" s="43">
        <f t="shared" si="10"/>
        <v>45085</v>
      </c>
      <c r="I208" s="42"/>
      <c r="J208" s="42"/>
      <c r="K208" s="42"/>
      <c r="L208" s="42"/>
      <c r="M208" s="44"/>
      <c r="N208" s="45" t="str">
        <f>IFERROR(Miesiac_161[[#This Row],[Stawka]]/(Miesiac_161[[#This Row],[Trasa '[km']]]+Miesiac_161[[#This Row],[Podjazd '[km']]]),"-")</f>
        <v>-</v>
      </c>
      <c r="O208" s="42"/>
      <c r="Q208" s="51" t="s">
        <v>95</v>
      </c>
      <c r="R208" s="55"/>
      <c r="S208" s="52"/>
    </row>
    <row r="209" spans="8:19" s="27" customFormat="1" ht="15.75" x14ac:dyDescent="0.25">
      <c r="H209" s="43">
        <f t="shared" si="10"/>
        <v>45086</v>
      </c>
      <c r="I209" s="42"/>
      <c r="J209" s="42"/>
      <c r="K209" s="42"/>
      <c r="L209" s="42"/>
      <c r="M209" s="44"/>
      <c r="N209" s="45" t="str">
        <f>IFERROR(Miesiac_161[[#This Row],[Stawka]]/(Miesiac_161[[#This Row],[Trasa '[km']]]+Miesiac_161[[#This Row],[Podjazd '[km']]]),"-")</f>
        <v>-</v>
      </c>
      <c r="O209" s="42"/>
      <c r="Q209" s="51" t="s">
        <v>50</v>
      </c>
      <c r="R209" s="55"/>
      <c r="S209" s="52"/>
    </row>
    <row r="210" spans="8:19" s="27" customFormat="1" ht="15.75" x14ac:dyDescent="0.25">
      <c r="H210" s="43">
        <f t="shared" si="10"/>
        <v>45087</v>
      </c>
      <c r="I210" s="42"/>
      <c r="J210" s="42"/>
      <c r="K210" s="42"/>
      <c r="L210" s="42"/>
      <c r="M210" s="44"/>
      <c r="N210" s="45" t="str">
        <f>IFERROR(Miesiac_161[[#This Row],[Stawka]]/(Miesiac_161[[#This Row],[Trasa '[km']]]+Miesiac_161[[#This Row],[Podjazd '[km']]]),"-")</f>
        <v>-</v>
      </c>
      <c r="O210" s="42"/>
      <c r="Q210" s="51" t="s">
        <v>52</v>
      </c>
      <c r="R210" s="55"/>
      <c r="S210" s="52"/>
    </row>
    <row r="211" spans="8:19" s="27" customFormat="1" ht="15.75" x14ac:dyDescent="0.25">
      <c r="H211" s="43">
        <f t="shared" si="10"/>
        <v>45088</v>
      </c>
      <c r="I211" s="42"/>
      <c r="J211" s="42"/>
      <c r="K211" s="42"/>
      <c r="L211" s="42"/>
      <c r="M211" s="44"/>
      <c r="N211" s="45" t="str">
        <f>IFERROR(Miesiac_161[[#This Row],[Stawka]]/(Miesiac_161[[#This Row],[Trasa '[km']]]+Miesiac_161[[#This Row],[Podjazd '[km']]]),"-")</f>
        <v>-</v>
      </c>
      <c r="O211" s="42"/>
      <c r="Q211" s="51" t="s">
        <v>94</v>
      </c>
      <c r="R211" s="55"/>
      <c r="S211" s="52"/>
    </row>
    <row r="212" spans="8:19" s="27" customFormat="1" ht="15.75" x14ac:dyDescent="0.25">
      <c r="H212" s="43">
        <f t="shared" si="10"/>
        <v>45089</v>
      </c>
      <c r="I212" s="42"/>
      <c r="J212" s="42"/>
      <c r="K212" s="42"/>
      <c r="L212" s="42"/>
      <c r="M212" s="44"/>
      <c r="N212" s="45" t="str">
        <f>IFERROR(Miesiac_161[[#This Row],[Stawka]]/(Miesiac_161[[#This Row],[Trasa '[km']]]+Miesiac_161[[#This Row],[Podjazd '[km']]]),"-")</f>
        <v>-</v>
      </c>
      <c r="O212" s="42"/>
      <c r="Q212" s="51" t="s">
        <v>96</v>
      </c>
      <c r="R212" s="55"/>
      <c r="S212" s="52"/>
    </row>
    <row r="213" spans="8:19" s="27" customFormat="1" ht="15.75" x14ac:dyDescent="0.25">
      <c r="H213" s="43">
        <f t="shared" si="10"/>
        <v>45090</v>
      </c>
      <c r="I213" s="42"/>
      <c r="J213" s="42"/>
      <c r="K213" s="42"/>
      <c r="L213" s="42"/>
      <c r="M213" s="44"/>
      <c r="N213" s="45" t="str">
        <f>IFERROR(Miesiac_161[[#This Row],[Stawka]]/(Miesiac_161[[#This Row],[Trasa '[km']]]+Miesiac_161[[#This Row],[Podjazd '[km']]]),"-")</f>
        <v>-</v>
      </c>
      <c r="O213" s="42"/>
      <c r="Q213" s="51" t="s">
        <v>97</v>
      </c>
      <c r="R213" s="55"/>
      <c r="S213" s="52"/>
    </row>
    <row r="214" spans="8:19" s="27" customFormat="1" ht="15.75" x14ac:dyDescent="0.25">
      <c r="H214" s="43">
        <f t="shared" si="10"/>
        <v>45091</v>
      </c>
      <c r="I214" s="42"/>
      <c r="J214" s="42"/>
      <c r="K214" s="42"/>
      <c r="L214" s="42"/>
      <c r="M214" s="44"/>
      <c r="N214" s="45" t="str">
        <f>IFERROR(Miesiac_161[[#This Row],[Stawka]]/(Miesiac_161[[#This Row],[Trasa '[km']]]+Miesiac_161[[#This Row],[Podjazd '[km']]]),"-")</f>
        <v>-</v>
      </c>
      <c r="O214" s="42"/>
      <c r="Q214" s="51" t="s">
        <v>98</v>
      </c>
      <c r="R214" s="55"/>
      <c r="S214" s="52"/>
    </row>
    <row r="215" spans="8:19" s="27" customFormat="1" ht="15.75" x14ac:dyDescent="0.25">
      <c r="H215" s="43">
        <f t="shared" si="10"/>
        <v>45092</v>
      </c>
      <c r="I215" s="42"/>
      <c r="J215" s="42"/>
      <c r="K215" s="42"/>
      <c r="L215" s="42"/>
      <c r="M215" s="44"/>
      <c r="N215" s="45" t="str">
        <f>IFERROR(Miesiac_161[[#This Row],[Stawka]]/(Miesiac_161[[#This Row],[Trasa '[km']]]+Miesiac_161[[#This Row],[Podjazd '[km']]]),"-")</f>
        <v>-</v>
      </c>
      <c r="O215" s="42"/>
      <c r="Q215" s="51" t="s">
        <v>32</v>
      </c>
      <c r="R215" s="55"/>
      <c r="S215" s="52"/>
    </row>
    <row r="216" spans="8:19" s="27" customFormat="1" ht="15.75" x14ac:dyDescent="0.25">
      <c r="H216" s="43">
        <f t="shared" si="10"/>
        <v>45093</v>
      </c>
      <c r="I216" s="42"/>
      <c r="J216" s="42"/>
      <c r="K216" s="42"/>
      <c r="L216" s="42"/>
      <c r="M216" s="44"/>
      <c r="N216" s="45" t="str">
        <f>IFERROR(Miesiac_161[[#This Row],[Stawka]]/(Miesiac_161[[#This Row],[Trasa '[km']]]+Miesiac_161[[#This Row],[Podjazd '[km']]]),"-")</f>
        <v>-</v>
      </c>
      <c r="O216" s="42"/>
      <c r="Q216" s="51" t="s">
        <v>33</v>
      </c>
      <c r="R216" s="55"/>
      <c r="S216" s="52"/>
    </row>
    <row r="217" spans="8:19" s="27" customFormat="1" ht="15.75" x14ac:dyDescent="0.25">
      <c r="H217" s="43">
        <f t="shared" si="10"/>
        <v>45094</v>
      </c>
      <c r="I217" s="42"/>
      <c r="J217" s="42"/>
      <c r="K217" s="42"/>
      <c r="L217" s="42"/>
      <c r="M217" s="44"/>
      <c r="N217" s="45" t="str">
        <f>IFERROR(Miesiac_161[[#This Row],[Stawka]]/(Miesiac_161[[#This Row],[Trasa '[km']]]+Miesiac_161[[#This Row],[Podjazd '[km']]]),"-")</f>
        <v>-</v>
      </c>
      <c r="O217" s="42"/>
      <c r="Q217" s="51" t="s">
        <v>34</v>
      </c>
      <c r="R217" s="55"/>
      <c r="S217" s="52"/>
    </row>
    <row r="218" spans="8:19" s="27" customFormat="1" ht="15.75" x14ac:dyDescent="0.25">
      <c r="H218" s="43">
        <f t="shared" si="10"/>
        <v>45095</v>
      </c>
      <c r="I218" s="42"/>
      <c r="J218" s="42"/>
      <c r="K218" s="42"/>
      <c r="L218" s="42"/>
      <c r="M218" s="44"/>
      <c r="N218" s="45" t="str">
        <f>IFERROR(Miesiac_161[[#This Row],[Stawka]]/(Miesiac_161[[#This Row],[Trasa '[km']]]+Miesiac_161[[#This Row],[Podjazd '[km']]]),"-")</f>
        <v>-</v>
      </c>
      <c r="O218" s="42"/>
      <c r="Q218" s="51" t="s">
        <v>35</v>
      </c>
      <c r="R218" s="55"/>
      <c r="S218" s="52"/>
    </row>
    <row r="219" spans="8:19" s="27" customFormat="1" ht="15.75" x14ac:dyDescent="0.25">
      <c r="H219" s="43">
        <f t="shared" si="10"/>
        <v>45096</v>
      </c>
      <c r="I219" s="42"/>
      <c r="J219" s="42"/>
      <c r="K219" s="42"/>
      <c r="L219" s="42"/>
      <c r="M219" s="44"/>
      <c r="N219" s="45" t="str">
        <f>IFERROR(Miesiac_161[[#This Row],[Stawka]]/(Miesiac_161[[#This Row],[Trasa '[km']]]+Miesiac_161[[#This Row],[Podjazd '[km']]]),"-")</f>
        <v>-</v>
      </c>
      <c r="O219" s="42"/>
      <c r="Q219" s="51" t="s">
        <v>116</v>
      </c>
      <c r="R219" s="55"/>
      <c r="S219" s="52"/>
    </row>
    <row r="220" spans="8:19" s="27" customFormat="1" ht="15.75" x14ac:dyDescent="0.25">
      <c r="H220" s="43">
        <f t="shared" si="10"/>
        <v>45097</v>
      </c>
      <c r="I220" s="42"/>
      <c r="J220" s="42"/>
      <c r="K220" s="42"/>
      <c r="L220" s="42"/>
      <c r="M220" s="44"/>
      <c r="N220" s="45" t="str">
        <f>IFERROR(Miesiac_161[[#This Row],[Stawka]]/(Miesiac_161[[#This Row],[Trasa '[km']]]+Miesiac_161[[#This Row],[Podjazd '[km']]]),"-")</f>
        <v>-</v>
      </c>
      <c r="O220" s="42"/>
      <c r="Q220" s="51" t="s">
        <v>117</v>
      </c>
      <c r="R220" s="55"/>
      <c r="S220" s="52"/>
    </row>
    <row r="221" spans="8:19" s="27" customFormat="1" ht="15.75" x14ac:dyDescent="0.25">
      <c r="H221" s="43">
        <f t="shared" si="10"/>
        <v>45098</v>
      </c>
      <c r="I221" s="42"/>
      <c r="J221" s="42"/>
      <c r="K221" s="42"/>
      <c r="L221" s="42"/>
      <c r="M221" s="44"/>
      <c r="N221" s="45" t="str">
        <f>IFERROR(Miesiac_161[[#This Row],[Stawka]]/(Miesiac_161[[#This Row],[Trasa '[km']]]+Miesiac_161[[#This Row],[Podjazd '[km']]]),"-")</f>
        <v>-</v>
      </c>
      <c r="O221" s="42"/>
      <c r="Q221" s="51" t="s">
        <v>118</v>
      </c>
      <c r="R221" s="55"/>
      <c r="S221" s="52"/>
    </row>
    <row r="222" spans="8:19" s="27" customFormat="1" ht="15.75" x14ac:dyDescent="0.25">
      <c r="H222" s="43">
        <f t="shared" si="10"/>
        <v>45099</v>
      </c>
      <c r="I222" s="42"/>
      <c r="J222" s="42"/>
      <c r="K222" s="42"/>
      <c r="L222" s="42"/>
      <c r="M222" s="44"/>
      <c r="N222" s="45" t="str">
        <f>IFERROR(Miesiac_161[[#This Row],[Stawka]]/(Miesiac_161[[#This Row],[Trasa '[km']]]+Miesiac_161[[#This Row],[Podjazd '[km']]]),"-")</f>
        <v>-</v>
      </c>
      <c r="O222" s="42"/>
      <c r="Q222" s="51" t="s">
        <v>119</v>
      </c>
      <c r="R222" s="55"/>
      <c r="S222" s="52"/>
    </row>
    <row r="223" spans="8:19" s="27" customFormat="1" ht="15.75" x14ac:dyDescent="0.25">
      <c r="H223" s="43">
        <f t="shared" si="10"/>
        <v>45100</v>
      </c>
      <c r="I223" s="42"/>
      <c r="J223" s="42"/>
      <c r="K223" s="42"/>
      <c r="L223" s="42"/>
      <c r="M223" s="44"/>
      <c r="N223" s="45" t="str">
        <f>IFERROR(Miesiac_161[[#This Row],[Stawka]]/(Miesiac_161[[#This Row],[Trasa '[km']]]+Miesiac_161[[#This Row],[Podjazd '[km']]]),"-")</f>
        <v>-</v>
      </c>
      <c r="O223" s="42"/>
      <c r="Q223" s="51" t="s">
        <v>120</v>
      </c>
      <c r="R223" s="55"/>
      <c r="S223" s="52"/>
    </row>
    <row r="224" spans="8:19" s="27" customFormat="1" ht="15.75" x14ac:dyDescent="0.25">
      <c r="H224" s="43">
        <f t="shared" si="10"/>
        <v>45101</v>
      </c>
      <c r="I224" s="42"/>
      <c r="J224" s="42"/>
      <c r="K224" s="42"/>
      <c r="L224" s="42"/>
      <c r="M224" s="44"/>
      <c r="N224" s="45" t="str">
        <f>IFERROR(Miesiac_161[[#This Row],[Stawka]]/(Miesiac_161[[#This Row],[Trasa '[km']]]+Miesiac_161[[#This Row],[Podjazd '[km']]]),"-")</f>
        <v>-</v>
      </c>
      <c r="O224" s="42"/>
      <c r="Q224" s="51" t="s">
        <v>121</v>
      </c>
      <c r="R224" s="55"/>
      <c r="S224" s="52"/>
    </row>
    <row r="225" spans="8:19" s="27" customFormat="1" ht="15.75" x14ac:dyDescent="0.25">
      <c r="H225" s="43">
        <f t="shared" si="10"/>
        <v>45102</v>
      </c>
      <c r="I225" s="42"/>
      <c r="J225" s="42"/>
      <c r="K225" s="42"/>
      <c r="L225" s="42"/>
      <c r="M225" s="44"/>
      <c r="N225" s="45" t="str">
        <f>IFERROR(Miesiac_161[[#This Row],[Stawka]]/(Miesiac_161[[#This Row],[Trasa '[km']]]+Miesiac_161[[#This Row],[Podjazd '[km']]]),"-")</f>
        <v>-</v>
      </c>
      <c r="O225" s="42"/>
      <c r="Q225" s="51" t="s">
        <v>122</v>
      </c>
      <c r="R225" s="55"/>
      <c r="S225" s="52"/>
    </row>
    <row r="226" spans="8:19" s="27" customFormat="1" ht="18.75" x14ac:dyDescent="0.3">
      <c r="H226" s="43">
        <f t="shared" si="10"/>
        <v>45103</v>
      </c>
      <c r="I226" s="42"/>
      <c r="J226" s="42"/>
      <c r="K226" s="42"/>
      <c r="L226" s="42"/>
      <c r="M226" s="44"/>
      <c r="N226" s="45" t="str">
        <f>IFERROR(Miesiac_161[[#This Row],[Stawka]]/(Miesiac_161[[#This Row],[Trasa '[km']]]+Miesiac_161[[#This Row],[Podjazd '[km']]]),"-")</f>
        <v>-</v>
      </c>
      <c r="O226" s="42"/>
      <c r="Q226" s="28" t="s">
        <v>36</v>
      </c>
      <c r="R226" s="29">
        <f>SUBTOTAL(109,Koszty_6[Kwota PLN '[netto']])</f>
        <v>0</v>
      </c>
      <c r="S226" s="30">
        <f>SUBTOTAL(109,Koszty_6[Kwota € '[netto']])</f>
        <v>0</v>
      </c>
    </row>
    <row r="227" spans="8:19" s="27" customFormat="1" ht="15.75" x14ac:dyDescent="0.25">
      <c r="H227" s="43">
        <f t="shared" si="10"/>
        <v>45104</v>
      </c>
      <c r="I227" s="42"/>
      <c r="J227" s="42"/>
      <c r="K227" s="42"/>
      <c r="L227" s="42"/>
      <c r="M227" s="44"/>
      <c r="N227" s="45" t="str">
        <f>IFERROR(Miesiac_161[[#This Row],[Stawka]]/(Miesiac_161[[#This Row],[Trasa '[km']]]+Miesiac_161[[#This Row],[Podjazd '[km']]]),"-")</f>
        <v>-</v>
      </c>
      <c r="O227" s="42"/>
      <c r="Q227" s="1"/>
      <c r="R227" s="1"/>
      <c r="S227" s="1"/>
    </row>
    <row r="228" spans="8:19" s="27" customFormat="1" ht="15.75" x14ac:dyDescent="0.25">
      <c r="H228" s="50">
        <f>IF(H227&lt;&gt;"-",IF(MONTH(H227)=MONTH(H227+1),H227+1,"-"),"-")</f>
        <v>45105</v>
      </c>
      <c r="I228" s="42"/>
      <c r="J228" s="42"/>
      <c r="K228" s="42"/>
      <c r="L228" s="42"/>
      <c r="M228" s="44"/>
      <c r="N228" s="45" t="str">
        <f>IFERROR(Miesiac_161[[#This Row],[Stawka]]/(Miesiac_161[[#This Row],[Trasa '[km']]]+Miesiac_161[[#This Row],[Podjazd '[km']]]),"-")</f>
        <v>-</v>
      </c>
      <c r="O228" s="42"/>
      <c r="Q228" s="1"/>
      <c r="R228" s="1"/>
      <c r="S228" s="1"/>
    </row>
    <row r="229" spans="8:19" s="27" customFormat="1" ht="15.75" x14ac:dyDescent="0.25">
      <c r="H229" s="50">
        <f t="shared" ref="H229:H231" si="11">IF(H228&lt;&gt;"-",IF(MONTH(H228)=MONTH(H228+1),H228+1,"-"),"-")</f>
        <v>45106</v>
      </c>
      <c r="I229" s="42"/>
      <c r="J229" s="42"/>
      <c r="K229" s="42"/>
      <c r="L229" s="42"/>
      <c r="M229" s="44"/>
      <c r="N229" s="45" t="str">
        <f>IFERROR(Miesiac_161[[#This Row],[Stawka]]/(Miesiac_161[[#This Row],[Trasa '[km']]]+Miesiac_161[[#This Row],[Podjazd '[km']]]),"-")</f>
        <v>-</v>
      </c>
      <c r="O229" s="42"/>
      <c r="Q229" s="1"/>
      <c r="R229" s="1"/>
      <c r="S229" s="1"/>
    </row>
    <row r="230" spans="8:19" s="27" customFormat="1" ht="15.75" x14ac:dyDescent="0.25">
      <c r="H230" s="50">
        <f t="shared" si="11"/>
        <v>45107</v>
      </c>
      <c r="I230" s="42"/>
      <c r="J230" s="42"/>
      <c r="K230" s="42"/>
      <c r="L230" s="42"/>
      <c r="M230" s="44"/>
      <c r="N230" s="45" t="str">
        <f>IFERROR(Miesiac_161[[#This Row],[Stawka]]/(Miesiac_161[[#This Row],[Trasa '[km']]]+Miesiac_161[[#This Row],[Podjazd '[km']]]),"-")</f>
        <v>-</v>
      </c>
      <c r="O230" s="42"/>
      <c r="Q230" s="1"/>
      <c r="R230" s="1"/>
      <c r="S230" s="1"/>
    </row>
    <row r="231" spans="8:19" s="27" customFormat="1" ht="15.75" x14ac:dyDescent="0.25">
      <c r="H231" s="50" t="str">
        <f t="shared" si="11"/>
        <v>-</v>
      </c>
      <c r="I231" s="51"/>
      <c r="J231" s="51"/>
      <c r="K231" s="51"/>
      <c r="L231" s="51"/>
      <c r="M231" s="52"/>
      <c r="N231" s="53" t="str">
        <f>IFERROR(Miesiac_161[[#This Row],[Stawka]]/(Miesiac_161[[#This Row],[Trasa '[km']]]+Miesiac_161[[#This Row],[Podjazd '[km']]]),"-")</f>
        <v>-</v>
      </c>
      <c r="O231" s="51"/>
      <c r="Q231" s="31" t="s">
        <v>89</v>
      </c>
      <c r="R231" s="32"/>
      <c r="S231" s="33" t="s">
        <v>90</v>
      </c>
    </row>
    <row r="232" spans="8:19" ht="15.75" x14ac:dyDescent="0.25">
      <c r="Q232" s="31" t="s">
        <v>91</v>
      </c>
      <c r="R232" s="33"/>
      <c r="S232" s="33" t="s">
        <v>90</v>
      </c>
    </row>
    <row r="233" spans="8:19" ht="19.5" thickBot="1" x14ac:dyDescent="0.35">
      <c r="J233" s="80" t="s">
        <v>55</v>
      </c>
      <c r="K233" s="80">
        <f>SUM(Miesiac_161[Podjazd '[km']])</f>
        <v>0</v>
      </c>
      <c r="L233" s="80">
        <f>SUM(Miesiac_161[Trasa '[km']])</f>
        <v>0</v>
      </c>
      <c r="M233" s="81">
        <f>SUM(Miesiac_161[Stawka])</f>
        <v>0</v>
      </c>
      <c r="N233" s="82" t="str">
        <f>IFERROR(M233/(L233+K233),"-")</f>
        <v>-</v>
      </c>
      <c r="Q233" s="84" t="s">
        <v>92</v>
      </c>
      <c r="R233" s="85">
        <f>R232-R231</f>
        <v>0</v>
      </c>
      <c r="S233" s="85" t="s">
        <v>90</v>
      </c>
    </row>
    <row r="234" spans="8:19" ht="21.75" thickBot="1" x14ac:dyDescent="0.4">
      <c r="J234" s="80" t="s">
        <v>56</v>
      </c>
      <c r="K234" s="83"/>
      <c r="L234" s="149">
        <f>M233/B11</f>
        <v>0</v>
      </c>
      <c r="M234" s="149"/>
      <c r="N234" s="149"/>
      <c r="Q234" s="88" t="s">
        <v>110</v>
      </c>
      <c r="R234" s="89" t="str">
        <f>IFERROR(M233/R233,"-")</f>
        <v>-</v>
      </c>
      <c r="S234" s="90"/>
    </row>
    <row r="235" spans="8:19" x14ac:dyDescent="0.25"/>
    <row r="236" spans="8:19" ht="15.75" thickBot="1" x14ac:dyDescent="0.3"/>
    <row r="237" spans="8:19" ht="24" thickBot="1" x14ac:dyDescent="0.4">
      <c r="H237" s="150" t="s">
        <v>12</v>
      </c>
      <c r="I237" s="151"/>
      <c r="J237" s="87">
        <v>2023</v>
      </c>
    </row>
    <row r="238" spans="8:19" x14ac:dyDescent="0.25">
      <c r="H238" s="7">
        <f>MATCH($H237,{"styczeń";"luty";"marzec";"kwiecień";"maj";"czerwiec";"lipiec";"sierpień";"wrzesień";"październik";"listopad";"grudzień"},0)</f>
        <v>7</v>
      </c>
    </row>
    <row r="239" spans="8:19" ht="35.1" customHeight="1" x14ac:dyDescent="0.25">
      <c r="H239" s="77" t="s">
        <v>0</v>
      </c>
      <c r="I239" s="77" t="s">
        <v>1</v>
      </c>
      <c r="J239" s="77" t="s">
        <v>2</v>
      </c>
      <c r="K239" s="77" t="s">
        <v>4</v>
      </c>
      <c r="L239" s="77" t="s">
        <v>3</v>
      </c>
      <c r="M239" s="77" t="s">
        <v>114</v>
      </c>
      <c r="N239" s="77" t="s">
        <v>115</v>
      </c>
      <c r="O239" s="78" t="s">
        <v>19</v>
      </c>
      <c r="Q239" s="77" t="s">
        <v>93</v>
      </c>
      <c r="R239" s="77" t="s">
        <v>49</v>
      </c>
      <c r="S239" s="77" t="s">
        <v>48</v>
      </c>
    </row>
    <row r="240" spans="8:19" s="27" customFormat="1" ht="15.75" x14ac:dyDescent="0.25">
      <c r="H240" s="38">
        <f>DATE(J237,H238,1)</f>
        <v>45108</v>
      </c>
      <c r="I240" s="39"/>
      <c r="J240" s="39"/>
      <c r="K240" s="39"/>
      <c r="L240" s="39"/>
      <c r="M240" s="40"/>
      <c r="N240" s="41" t="str">
        <f>IFERROR(Miesiac_163[[#This Row],[Stawka]]/(Miesiac_163[[#This Row],[Trasa '[km']]]+Miesiac_163[[#This Row],[Podjazd '[km']]]),"-")</f>
        <v>-</v>
      </c>
      <c r="O240" s="42"/>
      <c r="Q240" s="51" t="s">
        <v>53</v>
      </c>
      <c r="R240" s="55"/>
      <c r="S240" s="52"/>
    </row>
    <row r="241" spans="8:19" s="27" customFormat="1" ht="15.75" x14ac:dyDescent="0.25">
      <c r="H241" s="43">
        <f>H240+1</f>
        <v>45109</v>
      </c>
      <c r="I241" s="42"/>
      <c r="J241" s="42"/>
      <c r="K241" s="42"/>
      <c r="L241" s="42"/>
      <c r="M241" s="44"/>
      <c r="N241" s="45" t="str">
        <f>IFERROR(Miesiac_163[[#This Row],[Stawka]]/(Miesiac_163[[#This Row],[Trasa '[km']]]+Miesiac_163[[#This Row],[Podjazd '[km']]]),"-")</f>
        <v>-</v>
      </c>
      <c r="O241" s="46"/>
      <c r="Q241" s="51" t="s">
        <v>54</v>
      </c>
      <c r="R241" s="55"/>
      <c r="S241" s="52"/>
    </row>
    <row r="242" spans="8:19" s="27" customFormat="1" ht="15.75" x14ac:dyDescent="0.25">
      <c r="H242" s="43">
        <f t="shared" ref="H242:H266" si="12">H241+1</f>
        <v>45110</v>
      </c>
      <c r="I242" s="42"/>
      <c r="J242" s="42"/>
      <c r="K242" s="42"/>
      <c r="L242" s="42"/>
      <c r="M242" s="44"/>
      <c r="N242" s="45" t="str">
        <f>IFERROR(Miesiac_163[[#This Row],[Stawka]]/(Miesiac_163[[#This Row],[Trasa '[km']]]+Miesiac_163[[#This Row],[Podjazd '[km']]]),"-")</f>
        <v>-</v>
      </c>
      <c r="O242" s="42"/>
      <c r="Q242" s="51" t="s">
        <v>37</v>
      </c>
      <c r="R242" s="55"/>
      <c r="S242" s="52"/>
    </row>
    <row r="243" spans="8:19" s="27" customFormat="1" ht="15.75" x14ac:dyDescent="0.25">
      <c r="H243" s="43">
        <f t="shared" si="12"/>
        <v>45111</v>
      </c>
      <c r="I243" s="42"/>
      <c r="J243" s="42"/>
      <c r="K243" s="42"/>
      <c r="L243" s="42"/>
      <c r="M243" s="44"/>
      <c r="N243" s="45" t="str">
        <f>IFERROR(Miesiac_163[[#This Row],[Stawka]]/(Miesiac_163[[#This Row],[Trasa '[km']]]+Miesiac_163[[#This Row],[Podjazd '[km']]]),"-")</f>
        <v>-</v>
      </c>
      <c r="O243" s="39"/>
      <c r="Q243" s="51" t="s">
        <v>43</v>
      </c>
      <c r="R243" s="55"/>
      <c r="S243" s="52"/>
    </row>
    <row r="244" spans="8:19" s="27" customFormat="1" ht="15.75" x14ac:dyDescent="0.25">
      <c r="H244" s="43">
        <f t="shared" si="12"/>
        <v>45112</v>
      </c>
      <c r="I244" s="42"/>
      <c r="J244" s="42"/>
      <c r="K244" s="42"/>
      <c r="L244" s="42"/>
      <c r="M244" s="44"/>
      <c r="N244" s="45" t="str">
        <f>IFERROR(Miesiac_163[[#This Row],[Stawka]]/(Miesiac_163[[#This Row],[Trasa '[km']]]+Miesiac_163[[#This Row],[Podjazd '[km']]]),"-")</f>
        <v>-</v>
      </c>
      <c r="O244" s="39"/>
      <c r="Q244" s="51" t="s">
        <v>57</v>
      </c>
      <c r="R244" s="55"/>
      <c r="S244" s="52"/>
    </row>
    <row r="245" spans="8:19" s="27" customFormat="1" ht="15.75" x14ac:dyDescent="0.25">
      <c r="H245" s="43">
        <f t="shared" si="12"/>
        <v>45113</v>
      </c>
      <c r="I245" s="42"/>
      <c r="J245" s="42"/>
      <c r="K245" s="42"/>
      <c r="L245" s="42"/>
      <c r="M245" s="44"/>
      <c r="N245" s="45" t="str">
        <f>IFERROR(Miesiac_163[[#This Row],[Stawka]]/(Miesiac_163[[#This Row],[Trasa '[km']]]+Miesiac_163[[#This Row],[Podjazd '[km']]]),"-")</f>
        <v>-</v>
      </c>
      <c r="O245" s="42"/>
      <c r="Q245" s="51" t="s">
        <v>58</v>
      </c>
      <c r="R245" s="55"/>
      <c r="S245" s="52"/>
    </row>
    <row r="246" spans="8:19" s="27" customFormat="1" ht="15.75" x14ac:dyDescent="0.25">
      <c r="H246" s="43">
        <f t="shared" si="12"/>
        <v>45114</v>
      </c>
      <c r="I246" s="42"/>
      <c r="J246" s="42"/>
      <c r="K246" s="42"/>
      <c r="L246" s="42"/>
      <c r="M246" s="44"/>
      <c r="N246" s="45" t="str">
        <f>IFERROR(Miesiac_163[[#This Row],[Stawka]]/(Miesiac_163[[#This Row],[Trasa '[km']]]+Miesiac_163[[#This Row],[Podjazd '[km']]]),"-")</f>
        <v>-</v>
      </c>
      <c r="O246" s="42"/>
      <c r="Q246" s="51" t="s">
        <v>51</v>
      </c>
      <c r="R246" s="55"/>
      <c r="S246" s="52"/>
    </row>
    <row r="247" spans="8:19" s="27" customFormat="1" ht="15.75" x14ac:dyDescent="0.25">
      <c r="H247" s="43">
        <f t="shared" si="12"/>
        <v>45115</v>
      </c>
      <c r="I247" s="42"/>
      <c r="J247" s="42"/>
      <c r="K247" s="42"/>
      <c r="L247" s="42"/>
      <c r="M247" s="44"/>
      <c r="N247" s="45" t="str">
        <f>IFERROR(Miesiac_163[[#This Row],[Stawka]]/(Miesiac_163[[#This Row],[Trasa '[km']]]+Miesiac_163[[#This Row],[Podjazd '[km']]]),"-")</f>
        <v>-</v>
      </c>
      <c r="O247" s="42"/>
      <c r="Q247" s="51" t="s">
        <v>95</v>
      </c>
      <c r="R247" s="55"/>
      <c r="S247" s="52"/>
    </row>
    <row r="248" spans="8:19" s="27" customFormat="1" ht="15.75" x14ac:dyDescent="0.25">
      <c r="H248" s="43">
        <f t="shared" si="12"/>
        <v>45116</v>
      </c>
      <c r="I248" s="42"/>
      <c r="J248" s="42"/>
      <c r="K248" s="42"/>
      <c r="L248" s="42"/>
      <c r="M248" s="44"/>
      <c r="N248" s="45" t="str">
        <f>IFERROR(Miesiac_163[[#This Row],[Stawka]]/(Miesiac_163[[#This Row],[Trasa '[km']]]+Miesiac_163[[#This Row],[Podjazd '[km']]]),"-")</f>
        <v>-</v>
      </c>
      <c r="O248" s="42"/>
      <c r="Q248" s="51" t="s">
        <v>50</v>
      </c>
      <c r="R248" s="55"/>
      <c r="S248" s="52"/>
    </row>
    <row r="249" spans="8:19" s="27" customFormat="1" ht="15.75" x14ac:dyDescent="0.25">
      <c r="H249" s="43">
        <f t="shared" si="12"/>
        <v>45117</v>
      </c>
      <c r="I249" s="42"/>
      <c r="J249" s="42"/>
      <c r="K249" s="42"/>
      <c r="L249" s="42"/>
      <c r="M249" s="44"/>
      <c r="N249" s="45" t="str">
        <f>IFERROR(Miesiac_163[[#This Row],[Stawka]]/(Miesiac_163[[#This Row],[Trasa '[km']]]+Miesiac_163[[#This Row],[Podjazd '[km']]]),"-")</f>
        <v>-</v>
      </c>
      <c r="O249" s="42"/>
      <c r="Q249" s="51" t="s">
        <v>52</v>
      </c>
      <c r="R249" s="55"/>
      <c r="S249" s="52"/>
    </row>
    <row r="250" spans="8:19" s="27" customFormat="1" ht="15.75" x14ac:dyDescent="0.25">
      <c r="H250" s="43">
        <f t="shared" si="12"/>
        <v>45118</v>
      </c>
      <c r="I250" s="42"/>
      <c r="J250" s="42"/>
      <c r="K250" s="42"/>
      <c r="L250" s="42"/>
      <c r="M250" s="44"/>
      <c r="N250" s="45" t="str">
        <f>IFERROR(Miesiac_163[[#This Row],[Stawka]]/(Miesiac_163[[#This Row],[Trasa '[km']]]+Miesiac_163[[#This Row],[Podjazd '[km']]]),"-")</f>
        <v>-</v>
      </c>
      <c r="O250" s="42"/>
      <c r="Q250" s="51" t="s">
        <v>94</v>
      </c>
      <c r="R250" s="55"/>
      <c r="S250" s="52"/>
    </row>
    <row r="251" spans="8:19" s="27" customFormat="1" ht="15.75" x14ac:dyDescent="0.25">
      <c r="H251" s="43">
        <f t="shared" si="12"/>
        <v>45119</v>
      </c>
      <c r="I251" s="42"/>
      <c r="J251" s="42"/>
      <c r="K251" s="42"/>
      <c r="L251" s="42"/>
      <c r="M251" s="44"/>
      <c r="N251" s="45" t="str">
        <f>IFERROR(Miesiac_163[[#This Row],[Stawka]]/(Miesiac_163[[#This Row],[Trasa '[km']]]+Miesiac_163[[#This Row],[Podjazd '[km']]]),"-")</f>
        <v>-</v>
      </c>
      <c r="O251" s="42"/>
      <c r="Q251" s="51" t="s">
        <v>96</v>
      </c>
      <c r="R251" s="55"/>
      <c r="S251" s="52"/>
    </row>
    <row r="252" spans="8:19" s="27" customFormat="1" ht="15.75" x14ac:dyDescent="0.25">
      <c r="H252" s="43">
        <f t="shared" si="12"/>
        <v>45120</v>
      </c>
      <c r="I252" s="42"/>
      <c r="J252" s="42"/>
      <c r="K252" s="42"/>
      <c r="L252" s="42"/>
      <c r="M252" s="44"/>
      <c r="N252" s="45" t="str">
        <f>IFERROR(Miesiac_163[[#This Row],[Stawka]]/(Miesiac_163[[#This Row],[Trasa '[km']]]+Miesiac_163[[#This Row],[Podjazd '[km']]]),"-")</f>
        <v>-</v>
      </c>
      <c r="O252" s="42"/>
      <c r="Q252" s="51" t="s">
        <v>97</v>
      </c>
      <c r="R252" s="55"/>
      <c r="S252" s="52"/>
    </row>
    <row r="253" spans="8:19" s="27" customFormat="1" ht="15.75" x14ac:dyDescent="0.25">
      <c r="H253" s="43">
        <f t="shared" si="12"/>
        <v>45121</v>
      </c>
      <c r="I253" s="42"/>
      <c r="J253" s="42"/>
      <c r="K253" s="42"/>
      <c r="L253" s="42"/>
      <c r="M253" s="44"/>
      <c r="N253" s="45" t="str">
        <f>IFERROR(Miesiac_163[[#This Row],[Stawka]]/(Miesiac_163[[#This Row],[Trasa '[km']]]+Miesiac_163[[#This Row],[Podjazd '[km']]]),"-")</f>
        <v>-</v>
      </c>
      <c r="O253" s="42"/>
      <c r="Q253" s="51" t="s">
        <v>98</v>
      </c>
      <c r="R253" s="55"/>
      <c r="S253" s="52"/>
    </row>
    <row r="254" spans="8:19" s="27" customFormat="1" ht="15.75" x14ac:dyDescent="0.25">
      <c r="H254" s="43">
        <f t="shared" si="12"/>
        <v>45122</v>
      </c>
      <c r="I254" s="42"/>
      <c r="J254" s="42"/>
      <c r="K254" s="42"/>
      <c r="L254" s="42"/>
      <c r="M254" s="44"/>
      <c r="N254" s="45" t="str">
        <f>IFERROR(Miesiac_163[[#This Row],[Stawka]]/(Miesiac_163[[#This Row],[Trasa '[km']]]+Miesiac_163[[#This Row],[Podjazd '[km']]]),"-")</f>
        <v>-</v>
      </c>
      <c r="O254" s="42"/>
      <c r="Q254" s="51" t="s">
        <v>32</v>
      </c>
      <c r="R254" s="55"/>
      <c r="S254" s="52"/>
    </row>
    <row r="255" spans="8:19" s="27" customFormat="1" ht="15.75" x14ac:dyDescent="0.25">
      <c r="H255" s="43">
        <f t="shared" si="12"/>
        <v>45123</v>
      </c>
      <c r="I255" s="42"/>
      <c r="J255" s="42"/>
      <c r="K255" s="42"/>
      <c r="L255" s="42"/>
      <c r="M255" s="44"/>
      <c r="N255" s="45" t="str">
        <f>IFERROR(Miesiac_163[[#This Row],[Stawka]]/(Miesiac_163[[#This Row],[Trasa '[km']]]+Miesiac_163[[#This Row],[Podjazd '[km']]]),"-")</f>
        <v>-</v>
      </c>
      <c r="O255" s="42"/>
      <c r="Q255" s="51" t="s">
        <v>33</v>
      </c>
      <c r="R255" s="55"/>
      <c r="S255" s="52"/>
    </row>
    <row r="256" spans="8:19" s="27" customFormat="1" ht="15.75" x14ac:dyDescent="0.25">
      <c r="H256" s="43">
        <f t="shared" si="12"/>
        <v>45124</v>
      </c>
      <c r="I256" s="42"/>
      <c r="J256" s="42"/>
      <c r="K256" s="42"/>
      <c r="L256" s="42"/>
      <c r="M256" s="44"/>
      <c r="N256" s="45" t="str">
        <f>IFERROR(Miesiac_163[[#This Row],[Stawka]]/(Miesiac_163[[#This Row],[Trasa '[km']]]+Miesiac_163[[#This Row],[Podjazd '[km']]]),"-")</f>
        <v>-</v>
      </c>
      <c r="O256" s="42"/>
      <c r="Q256" s="51" t="s">
        <v>34</v>
      </c>
      <c r="R256" s="55"/>
      <c r="S256" s="52"/>
    </row>
    <row r="257" spans="8:19" s="27" customFormat="1" ht="15.75" x14ac:dyDescent="0.25">
      <c r="H257" s="43">
        <f t="shared" si="12"/>
        <v>45125</v>
      </c>
      <c r="I257" s="42"/>
      <c r="J257" s="42"/>
      <c r="K257" s="42"/>
      <c r="L257" s="42"/>
      <c r="M257" s="44"/>
      <c r="N257" s="45" t="str">
        <f>IFERROR(Miesiac_163[[#This Row],[Stawka]]/(Miesiac_163[[#This Row],[Trasa '[km']]]+Miesiac_163[[#This Row],[Podjazd '[km']]]),"-")</f>
        <v>-</v>
      </c>
      <c r="O257" s="42"/>
      <c r="Q257" s="51" t="s">
        <v>35</v>
      </c>
      <c r="R257" s="55"/>
      <c r="S257" s="52"/>
    </row>
    <row r="258" spans="8:19" s="27" customFormat="1" ht="15.75" x14ac:dyDescent="0.25">
      <c r="H258" s="43">
        <f t="shared" si="12"/>
        <v>45126</v>
      </c>
      <c r="I258" s="42"/>
      <c r="J258" s="42"/>
      <c r="K258" s="42"/>
      <c r="L258" s="42"/>
      <c r="M258" s="44"/>
      <c r="N258" s="45" t="str">
        <f>IFERROR(Miesiac_163[[#This Row],[Stawka]]/(Miesiac_163[[#This Row],[Trasa '[km']]]+Miesiac_163[[#This Row],[Podjazd '[km']]]),"-")</f>
        <v>-</v>
      </c>
      <c r="O258" s="42"/>
      <c r="Q258" s="51" t="s">
        <v>116</v>
      </c>
      <c r="R258" s="55"/>
      <c r="S258" s="52"/>
    </row>
    <row r="259" spans="8:19" s="27" customFormat="1" ht="15.75" x14ac:dyDescent="0.25">
      <c r="H259" s="43">
        <f t="shared" si="12"/>
        <v>45127</v>
      </c>
      <c r="I259" s="42"/>
      <c r="J259" s="42"/>
      <c r="K259" s="42"/>
      <c r="L259" s="42"/>
      <c r="M259" s="44"/>
      <c r="N259" s="45" t="str">
        <f>IFERROR(Miesiac_163[[#This Row],[Stawka]]/(Miesiac_163[[#This Row],[Trasa '[km']]]+Miesiac_163[[#This Row],[Podjazd '[km']]]),"-")</f>
        <v>-</v>
      </c>
      <c r="O259" s="42"/>
      <c r="Q259" s="51" t="s">
        <v>117</v>
      </c>
      <c r="R259" s="55"/>
      <c r="S259" s="52"/>
    </row>
    <row r="260" spans="8:19" s="27" customFormat="1" ht="15.75" x14ac:dyDescent="0.25">
      <c r="H260" s="43">
        <f t="shared" si="12"/>
        <v>45128</v>
      </c>
      <c r="I260" s="42"/>
      <c r="J260" s="42"/>
      <c r="K260" s="42"/>
      <c r="L260" s="42"/>
      <c r="M260" s="44"/>
      <c r="N260" s="45" t="str">
        <f>IFERROR(Miesiac_163[[#This Row],[Stawka]]/(Miesiac_163[[#This Row],[Trasa '[km']]]+Miesiac_163[[#This Row],[Podjazd '[km']]]),"-")</f>
        <v>-</v>
      </c>
      <c r="O260" s="42"/>
      <c r="Q260" s="51" t="s">
        <v>118</v>
      </c>
      <c r="R260" s="55"/>
      <c r="S260" s="52"/>
    </row>
    <row r="261" spans="8:19" s="27" customFormat="1" ht="15.75" x14ac:dyDescent="0.25">
      <c r="H261" s="43">
        <f t="shared" si="12"/>
        <v>45129</v>
      </c>
      <c r="I261" s="42"/>
      <c r="J261" s="42"/>
      <c r="K261" s="42"/>
      <c r="L261" s="42"/>
      <c r="M261" s="44"/>
      <c r="N261" s="45" t="str">
        <f>IFERROR(Miesiac_163[[#This Row],[Stawka]]/(Miesiac_163[[#This Row],[Trasa '[km']]]+Miesiac_163[[#This Row],[Podjazd '[km']]]),"-")</f>
        <v>-</v>
      </c>
      <c r="O261" s="42"/>
      <c r="Q261" s="51" t="s">
        <v>119</v>
      </c>
      <c r="R261" s="55"/>
      <c r="S261" s="52"/>
    </row>
    <row r="262" spans="8:19" s="27" customFormat="1" ht="15.75" x14ac:dyDescent="0.25">
      <c r="H262" s="43">
        <f t="shared" si="12"/>
        <v>45130</v>
      </c>
      <c r="I262" s="42"/>
      <c r="J262" s="42"/>
      <c r="K262" s="42"/>
      <c r="L262" s="42"/>
      <c r="M262" s="44"/>
      <c r="N262" s="45" t="str">
        <f>IFERROR(Miesiac_163[[#This Row],[Stawka]]/(Miesiac_163[[#This Row],[Trasa '[km']]]+Miesiac_163[[#This Row],[Podjazd '[km']]]),"-")</f>
        <v>-</v>
      </c>
      <c r="O262" s="42"/>
      <c r="Q262" s="51" t="s">
        <v>120</v>
      </c>
      <c r="R262" s="55"/>
      <c r="S262" s="52"/>
    </row>
    <row r="263" spans="8:19" s="27" customFormat="1" ht="15.75" x14ac:dyDescent="0.25">
      <c r="H263" s="43">
        <f t="shared" si="12"/>
        <v>45131</v>
      </c>
      <c r="I263" s="42"/>
      <c r="J263" s="42"/>
      <c r="K263" s="42"/>
      <c r="L263" s="42"/>
      <c r="M263" s="44"/>
      <c r="N263" s="45" t="str">
        <f>IFERROR(Miesiac_163[[#This Row],[Stawka]]/(Miesiac_163[[#This Row],[Trasa '[km']]]+Miesiac_163[[#This Row],[Podjazd '[km']]]),"-")</f>
        <v>-</v>
      </c>
      <c r="O263" s="42"/>
      <c r="Q263" s="51" t="s">
        <v>121</v>
      </c>
      <c r="R263" s="55"/>
      <c r="S263" s="52"/>
    </row>
    <row r="264" spans="8:19" s="27" customFormat="1" ht="15.75" x14ac:dyDescent="0.25">
      <c r="H264" s="43">
        <f t="shared" si="12"/>
        <v>45132</v>
      </c>
      <c r="I264" s="42"/>
      <c r="J264" s="42"/>
      <c r="K264" s="42"/>
      <c r="L264" s="42"/>
      <c r="M264" s="44"/>
      <c r="N264" s="45" t="str">
        <f>IFERROR(Miesiac_163[[#This Row],[Stawka]]/(Miesiac_163[[#This Row],[Trasa '[km']]]+Miesiac_163[[#This Row],[Podjazd '[km']]]),"-")</f>
        <v>-</v>
      </c>
      <c r="O264" s="42"/>
      <c r="Q264" s="51" t="s">
        <v>122</v>
      </c>
      <c r="R264" s="55"/>
      <c r="S264" s="52"/>
    </row>
    <row r="265" spans="8:19" s="27" customFormat="1" ht="18.75" x14ac:dyDescent="0.3">
      <c r="H265" s="43">
        <f t="shared" si="12"/>
        <v>45133</v>
      </c>
      <c r="I265" s="42"/>
      <c r="J265" s="42"/>
      <c r="K265" s="42"/>
      <c r="L265" s="42"/>
      <c r="M265" s="44"/>
      <c r="N265" s="45" t="str">
        <f>IFERROR(Miesiac_163[[#This Row],[Stawka]]/(Miesiac_163[[#This Row],[Trasa '[km']]]+Miesiac_163[[#This Row],[Podjazd '[km']]]),"-")</f>
        <v>-</v>
      </c>
      <c r="O265" s="42"/>
      <c r="Q265" s="28" t="s">
        <v>36</v>
      </c>
      <c r="R265" s="29">
        <f>SUBTOTAL(109,Koszty_7[Kwota PLN '[netto']])</f>
        <v>0</v>
      </c>
      <c r="S265" s="30">
        <f>SUBTOTAL(109,Koszty_7[Kwota € '[netto']])</f>
        <v>0</v>
      </c>
    </row>
    <row r="266" spans="8:19" s="27" customFormat="1" ht="15.75" x14ac:dyDescent="0.25">
      <c r="H266" s="43">
        <f t="shared" si="12"/>
        <v>45134</v>
      </c>
      <c r="I266" s="42"/>
      <c r="J266" s="42"/>
      <c r="K266" s="42"/>
      <c r="L266" s="42"/>
      <c r="M266" s="44"/>
      <c r="N266" s="45" t="str">
        <f>IFERROR(Miesiac_163[[#This Row],[Stawka]]/(Miesiac_163[[#This Row],[Trasa '[km']]]+Miesiac_163[[#This Row],[Podjazd '[km']]]),"-")</f>
        <v>-</v>
      </c>
      <c r="O266" s="42"/>
      <c r="Q266" s="1"/>
      <c r="R266" s="1"/>
      <c r="S266" s="1"/>
    </row>
    <row r="267" spans="8:19" s="27" customFormat="1" ht="15.75" x14ac:dyDescent="0.25">
      <c r="H267" s="50">
        <f>IF(H266&lt;&gt;"-",IF(MONTH(H266)=MONTH(H266+1),H266+1,"-"),"-")</f>
        <v>45135</v>
      </c>
      <c r="I267" s="42"/>
      <c r="J267" s="42"/>
      <c r="K267" s="42"/>
      <c r="L267" s="42"/>
      <c r="M267" s="44"/>
      <c r="N267" s="45" t="str">
        <f>IFERROR(Miesiac_163[[#This Row],[Stawka]]/(Miesiac_163[[#This Row],[Trasa '[km']]]+Miesiac_163[[#This Row],[Podjazd '[km']]]),"-")</f>
        <v>-</v>
      </c>
      <c r="O267" s="42"/>
      <c r="Q267" s="1"/>
      <c r="R267" s="1"/>
      <c r="S267" s="1"/>
    </row>
    <row r="268" spans="8:19" s="27" customFormat="1" ht="15.75" x14ac:dyDescent="0.25">
      <c r="H268" s="50">
        <f t="shared" ref="H268:H270" si="13">IF(H267&lt;&gt;"-",IF(MONTH(H267)=MONTH(H267+1),H267+1,"-"),"-")</f>
        <v>45136</v>
      </c>
      <c r="I268" s="42"/>
      <c r="J268" s="42"/>
      <c r="K268" s="42"/>
      <c r="L268" s="42"/>
      <c r="M268" s="44"/>
      <c r="N268" s="45" t="str">
        <f>IFERROR(Miesiac_163[[#This Row],[Stawka]]/(Miesiac_163[[#This Row],[Trasa '[km']]]+Miesiac_163[[#This Row],[Podjazd '[km']]]),"-")</f>
        <v>-</v>
      </c>
      <c r="O268" s="42"/>
      <c r="Q268" s="1"/>
      <c r="R268" s="1"/>
      <c r="S268" s="1"/>
    </row>
    <row r="269" spans="8:19" s="27" customFormat="1" ht="15.75" x14ac:dyDescent="0.25">
      <c r="H269" s="50">
        <f t="shared" si="13"/>
        <v>45137</v>
      </c>
      <c r="I269" s="42"/>
      <c r="J269" s="42"/>
      <c r="K269" s="42"/>
      <c r="L269" s="42"/>
      <c r="M269" s="44"/>
      <c r="N269" s="45" t="str">
        <f>IFERROR(Miesiac_163[[#This Row],[Stawka]]/(Miesiac_163[[#This Row],[Trasa '[km']]]+Miesiac_163[[#This Row],[Podjazd '[km']]]),"-")</f>
        <v>-</v>
      </c>
      <c r="O269" s="42"/>
      <c r="Q269" s="1"/>
      <c r="R269" s="1"/>
      <c r="S269" s="1"/>
    </row>
    <row r="270" spans="8:19" s="27" customFormat="1" ht="15.75" x14ac:dyDescent="0.25">
      <c r="H270" s="50">
        <f t="shared" si="13"/>
        <v>45138</v>
      </c>
      <c r="I270" s="51"/>
      <c r="J270" s="51"/>
      <c r="K270" s="51"/>
      <c r="L270" s="51"/>
      <c r="M270" s="52"/>
      <c r="N270" s="53" t="str">
        <f>IFERROR(Miesiac_163[[#This Row],[Stawka]]/(Miesiac_163[[#This Row],[Trasa '[km']]]+Miesiac_163[[#This Row],[Podjazd '[km']]]),"-")</f>
        <v>-</v>
      </c>
      <c r="O270" s="51"/>
      <c r="Q270" s="31" t="s">
        <v>89</v>
      </c>
      <c r="R270" s="32"/>
      <c r="S270" s="33" t="s">
        <v>90</v>
      </c>
    </row>
    <row r="271" spans="8:19" ht="15.75" x14ac:dyDescent="0.25">
      <c r="Q271" s="31" t="s">
        <v>91</v>
      </c>
      <c r="R271" s="33"/>
      <c r="S271" s="33" t="s">
        <v>90</v>
      </c>
    </row>
    <row r="272" spans="8:19" ht="19.5" thickBot="1" x14ac:dyDescent="0.35">
      <c r="J272" s="80" t="s">
        <v>55</v>
      </c>
      <c r="K272" s="80">
        <f>SUM(Miesiac_163[Podjazd '[km']])</f>
        <v>0</v>
      </c>
      <c r="L272" s="80">
        <f>SUM(Miesiac_163[Trasa '[km']])</f>
        <v>0</v>
      </c>
      <c r="M272" s="81">
        <f>SUM(Miesiac_163[Stawka])</f>
        <v>0</v>
      </c>
      <c r="N272" s="82" t="str">
        <f>IFERROR(M272/(L272+K272),"-")</f>
        <v>-</v>
      </c>
      <c r="Q272" s="84" t="s">
        <v>92</v>
      </c>
      <c r="R272" s="85">
        <f>R271-R270</f>
        <v>0</v>
      </c>
      <c r="S272" s="85" t="s">
        <v>90</v>
      </c>
    </row>
    <row r="273" spans="8:19" ht="21.75" thickBot="1" x14ac:dyDescent="0.4">
      <c r="J273" s="80" t="s">
        <v>56</v>
      </c>
      <c r="K273" s="83"/>
      <c r="L273" s="149">
        <f>M272/B12</f>
        <v>0</v>
      </c>
      <c r="M273" s="149"/>
      <c r="N273" s="149"/>
      <c r="Q273" s="88" t="s">
        <v>110</v>
      </c>
      <c r="R273" s="89" t="str">
        <f>IFERROR(M272/R272,"-")</f>
        <v>-</v>
      </c>
      <c r="S273" s="90"/>
    </row>
    <row r="274" spans="8:19" x14ac:dyDescent="0.25"/>
    <row r="275" spans="8:19" ht="15.75" thickBot="1" x14ac:dyDescent="0.3"/>
    <row r="276" spans="8:19" ht="24" thickBot="1" x14ac:dyDescent="0.4">
      <c r="H276" s="150" t="s">
        <v>13</v>
      </c>
      <c r="I276" s="151"/>
      <c r="J276" s="87">
        <v>2023</v>
      </c>
    </row>
    <row r="277" spans="8:19" x14ac:dyDescent="0.25">
      <c r="H277" s="7">
        <f>MATCH($H276,{"styczeń";"luty";"marzec";"kwiecień";"maj";"czerwiec";"lipiec";"sierpień";"wrzesień";"październik";"listopad";"grudzień"},0)</f>
        <v>8</v>
      </c>
    </row>
    <row r="278" spans="8:19" ht="35.1" customHeight="1" x14ac:dyDescent="0.25">
      <c r="H278" s="77" t="s">
        <v>0</v>
      </c>
      <c r="I278" s="77" t="s">
        <v>1</v>
      </c>
      <c r="J278" s="77" t="s">
        <v>2</v>
      </c>
      <c r="K278" s="77" t="s">
        <v>4</v>
      </c>
      <c r="L278" s="77" t="s">
        <v>3</v>
      </c>
      <c r="M278" s="77" t="s">
        <v>114</v>
      </c>
      <c r="N278" s="77" t="s">
        <v>115</v>
      </c>
      <c r="O278" s="78" t="s">
        <v>19</v>
      </c>
      <c r="Q278" s="77" t="s">
        <v>93</v>
      </c>
      <c r="R278" s="77" t="s">
        <v>49</v>
      </c>
      <c r="S278" s="77" t="s">
        <v>48</v>
      </c>
    </row>
    <row r="279" spans="8:19" s="27" customFormat="1" ht="15.75" x14ac:dyDescent="0.25">
      <c r="H279" s="38">
        <f>DATE(J276,H277,1)</f>
        <v>45139</v>
      </c>
      <c r="I279" s="39"/>
      <c r="J279" s="39"/>
      <c r="K279" s="39"/>
      <c r="L279" s="39"/>
      <c r="M279" s="40"/>
      <c r="N279" s="41" t="str">
        <f>IFERROR(Miesiac_165[[#This Row],[Stawka]]/(Miesiac_165[[#This Row],[Trasa '[km']]]+Miesiac_165[[#This Row],[Podjazd '[km']]]),"-")</f>
        <v>-</v>
      </c>
      <c r="O279" s="42"/>
      <c r="Q279" s="51" t="s">
        <v>53</v>
      </c>
      <c r="R279" s="55"/>
      <c r="S279" s="52"/>
    </row>
    <row r="280" spans="8:19" s="27" customFormat="1" ht="15.75" x14ac:dyDescent="0.25">
      <c r="H280" s="43">
        <f>H279+1</f>
        <v>45140</v>
      </c>
      <c r="I280" s="42"/>
      <c r="J280" s="42"/>
      <c r="K280" s="42"/>
      <c r="L280" s="42"/>
      <c r="M280" s="44"/>
      <c r="N280" s="45" t="str">
        <f>IFERROR(Miesiac_165[[#This Row],[Stawka]]/(Miesiac_165[[#This Row],[Trasa '[km']]]+Miesiac_165[[#This Row],[Podjazd '[km']]]),"-")</f>
        <v>-</v>
      </c>
      <c r="O280" s="46"/>
      <c r="Q280" s="51" t="s">
        <v>54</v>
      </c>
      <c r="R280" s="55"/>
      <c r="S280" s="52"/>
    </row>
    <row r="281" spans="8:19" s="27" customFormat="1" ht="15.75" x14ac:dyDescent="0.25">
      <c r="H281" s="43">
        <f t="shared" ref="H281:H305" si="14">H280+1</f>
        <v>45141</v>
      </c>
      <c r="I281" s="42"/>
      <c r="J281" s="42"/>
      <c r="K281" s="42"/>
      <c r="L281" s="42"/>
      <c r="M281" s="44"/>
      <c r="N281" s="45" t="str">
        <f>IFERROR(Miesiac_165[[#This Row],[Stawka]]/(Miesiac_165[[#This Row],[Trasa '[km']]]+Miesiac_165[[#This Row],[Podjazd '[km']]]),"-")</f>
        <v>-</v>
      </c>
      <c r="O281" s="42"/>
      <c r="Q281" s="51" t="s">
        <v>37</v>
      </c>
      <c r="R281" s="55"/>
      <c r="S281" s="52"/>
    </row>
    <row r="282" spans="8:19" s="27" customFormat="1" ht="15.75" x14ac:dyDescent="0.25">
      <c r="H282" s="43">
        <f t="shared" si="14"/>
        <v>45142</v>
      </c>
      <c r="I282" s="42"/>
      <c r="J282" s="42"/>
      <c r="K282" s="42"/>
      <c r="L282" s="42"/>
      <c r="M282" s="44"/>
      <c r="N282" s="45" t="str">
        <f>IFERROR(Miesiac_165[[#This Row],[Stawka]]/(Miesiac_165[[#This Row],[Trasa '[km']]]+Miesiac_165[[#This Row],[Podjazd '[km']]]),"-")</f>
        <v>-</v>
      </c>
      <c r="O282" s="39"/>
      <c r="Q282" s="51" t="s">
        <v>43</v>
      </c>
      <c r="R282" s="55"/>
      <c r="S282" s="52"/>
    </row>
    <row r="283" spans="8:19" s="27" customFormat="1" ht="15.75" x14ac:dyDescent="0.25">
      <c r="H283" s="43">
        <f t="shared" si="14"/>
        <v>45143</v>
      </c>
      <c r="I283" s="42"/>
      <c r="J283" s="42"/>
      <c r="K283" s="42"/>
      <c r="L283" s="42"/>
      <c r="M283" s="44"/>
      <c r="N283" s="45" t="str">
        <f>IFERROR(Miesiac_165[[#This Row],[Stawka]]/(Miesiac_165[[#This Row],[Trasa '[km']]]+Miesiac_165[[#This Row],[Podjazd '[km']]]),"-")</f>
        <v>-</v>
      </c>
      <c r="O283" s="39"/>
      <c r="Q283" s="51" t="s">
        <v>57</v>
      </c>
      <c r="R283" s="55"/>
      <c r="S283" s="52"/>
    </row>
    <row r="284" spans="8:19" s="27" customFormat="1" ht="15.75" x14ac:dyDescent="0.25">
      <c r="H284" s="43">
        <f t="shared" si="14"/>
        <v>45144</v>
      </c>
      <c r="I284" s="42"/>
      <c r="J284" s="42"/>
      <c r="K284" s="42"/>
      <c r="L284" s="42"/>
      <c r="M284" s="44"/>
      <c r="N284" s="45" t="str">
        <f>IFERROR(Miesiac_165[[#This Row],[Stawka]]/(Miesiac_165[[#This Row],[Trasa '[km']]]+Miesiac_165[[#This Row],[Podjazd '[km']]]),"-")</f>
        <v>-</v>
      </c>
      <c r="O284" s="42"/>
      <c r="Q284" s="51" t="s">
        <v>58</v>
      </c>
      <c r="R284" s="55"/>
      <c r="S284" s="52"/>
    </row>
    <row r="285" spans="8:19" s="27" customFormat="1" ht="15.75" x14ac:dyDescent="0.25">
      <c r="H285" s="43">
        <f t="shared" si="14"/>
        <v>45145</v>
      </c>
      <c r="I285" s="42"/>
      <c r="J285" s="42"/>
      <c r="K285" s="42"/>
      <c r="L285" s="42"/>
      <c r="M285" s="44"/>
      <c r="N285" s="45" t="str">
        <f>IFERROR(Miesiac_165[[#This Row],[Stawka]]/(Miesiac_165[[#This Row],[Trasa '[km']]]+Miesiac_165[[#This Row],[Podjazd '[km']]]),"-")</f>
        <v>-</v>
      </c>
      <c r="O285" s="42"/>
      <c r="Q285" s="51" t="s">
        <v>51</v>
      </c>
      <c r="R285" s="55"/>
      <c r="S285" s="52"/>
    </row>
    <row r="286" spans="8:19" s="27" customFormat="1" ht="15.75" x14ac:dyDescent="0.25">
      <c r="H286" s="43">
        <f t="shared" si="14"/>
        <v>45146</v>
      </c>
      <c r="I286" s="42"/>
      <c r="J286" s="42"/>
      <c r="K286" s="42"/>
      <c r="L286" s="42"/>
      <c r="M286" s="44"/>
      <c r="N286" s="45" t="str">
        <f>IFERROR(Miesiac_165[[#This Row],[Stawka]]/(Miesiac_165[[#This Row],[Trasa '[km']]]+Miesiac_165[[#This Row],[Podjazd '[km']]]),"-")</f>
        <v>-</v>
      </c>
      <c r="O286" s="42"/>
      <c r="Q286" s="51" t="s">
        <v>95</v>
      </c>
      <c r="R286" s="55"/>
      <c r="S286" s="52"/>
    </row>
    <row r="287" spans="8:19" s="27" customFormat="1" ht="15.75" x14ac:dyDescent="0.25">
      <c r="H287" s="43">
        <f t="shared" si="14"/>
        <v>45147</v>
      </c>
      <c r="I287" s="42"/>
      <c r="J287" s="42"/>
      <c r="K287" s="42"/>
      <c r="L287" s="42"/>
      <c r="M287" s="44"/>
      <c r="N287" s="45" t="str">
        <f>IFERROR(Miesiac_165[[#This Row],[Stawka]]/(Miesiac_165[[#This Row],[Trasa '[km']]]+Miesiac_165[[#This Row],[Podjazd '[km']]]),"-")</f>
        <v>-</v>
      </c>
      <c r="O287" s="42"/>
      <c r="Q287" s="51" t="s">
        <v>50</v>
      </c>
      <c r="R287" s="55"/>
      <c r="S287" s="52"/>
    </row>
    <row r="288" spans="8:19" s="27" customFormat="1" ht="15.75" x14ac:dyDescent="0.25">
      <c r="H288" s="43">
        <f t="shared" si="14"/>
        <v>45148</v>
      </c>
      <c r="I288" s="42"/>
      <c r="J288" s="42"/>
      <c r="K288" s="42"/>
      <c r="L288" s="42"/>
      <c r="M288" s="44"/>
      <c r="N288" s="45" t="str">
        <f>IFERROR(Miesiac_165[[#This Row],[Stawka]]/(Miesiac_165[[#This Row],[Trasa '[km']]]+Miesiac_165[[#This Row],[Podjazd '[km']]]),"-")</f>
        <v>-</v>
      </c>
      <c r="O288" s="42"/>
      <c r="Q288" s="51" t="s">
        <v>52</v>
      </c>
      <c r="R288" s="55"/>
      <c r="S288" s="52"/>
    </row>
    <row r="289" spans="8:19" s="27" customFormat="1" ht="15.75" x14ac:dyDescent="0.25">
      <c r="H289" s="43">
        <f t="shared" si="14"/>
        <v>45149</v>
      </c>
      <c r="I289" s="42"/>
      <c r="J289" s="42"/>
      <c r="K289" s="42"/>
      <c r="L289" s="42"/>
      <c r="M289" s="44"/>
      <c r="N289" s="45" t="str">
        <f>IFERROR(Miesiac_165[[#This Row],[Stawka]]/(Miesiac_165[[#This Row],[Trasa '[km']]]+Miesiac_165[[#This Row],[Podjazd '[km']]]),"-")</f>
        <v>-</v>
      </c>
      <c r="O289" s="42"/>
      <c r="Q289" s="51" t="s">
        <v>94</v>
      </c>
      <c r="R289" s="55"/>
      <c r="S289" s="52"/>
    </row>
    <row r="290" spans="8:19" s="27" customFormat="1" ht="15.75" x14ac:dyDescent="0.25">
      <c r="H290" s="43">
        <f t="shared" si="14"/>
        <v>45150</v>
      </c>
      <c r="I290" s="42"/>
      <c r="J290" s="42"/>
      <c r="K290" s="42"/>
      <c r="L290" s="42"/>
      <c r="M290" s="44"/>
      <c r="N290" s="45" t="str">
        <f>IFERROR(Miesiac_165[[#This Row],[Stawka]]/(Miesiac_165[[#This Row],[Trasa '[km']]]+Miesiac_165[[#This Row],[Podjazd '[km']]]),"-")</f>
        <v>-</v>
      </c>
      <c r="O290" s="42"/>
      <c r="Q290" s="51" t="s">
        <v>96</v>
      </c>
      <c r="R290" s="55"/>
      <c r="S290" s="52"/>
    </row>
    <row r="291" spans="8:19" s="27" customFormat="1" ht="15.75" x14ac:dyDescent="0.25">
      <c r="H291" s="43">
        <f t="shared" si="14"/>
        <v>45151</v>
      </c>
      <c r="I291" s="42"/>
      <c r="J291" s="42"/>
      <c r="K291" s="42"/>
      <c r="L291" s="42"/>
      <c r="M291" s="44"/>
      <c r="N291" s="45" t="str">
        <f>IFERROR(Miesiac_165[[#This Row],[Stawka]]/(Miesiac_165[[#This Row],[Trasa '[km']]]+Miesiac_165[[#This Row],[Podjazd '[km']]]),"-")</f>
        <v>-</v>
      </c>
      <c r="O291" s="42"/>
      <c r="Q291" s="51" t="s">
        <v>97</v>
      </c>
      <c r="R291" s="55"/>
      <c r="S291" s="52"/>
    </row>
    <row r="292" spans="8:19" s="27" customFormat="1" ht="15.75" x14ac:dyDescent="0.25">
      <c r="H292" s="43">
        <f t="shared" si="14"/>
        <v>45152</v>
      </c>
      <c r="I292" s="42"/>
      <c r="J292" s="42"/>
      <c r="K292" s="42"/>
      <c r="L292" s="42"/>
      <c r="M292" s="44"/>
      <c r="N292" s="45" t="str">
        <f>IFERROR(Miesiac_165[[#This Row],[Stawka]]/(Miesiac_165[[#This Row],[Trasa '[km']]]+Miesiac_165[[#This Row],[Podjazd '[km']]]),"-")</f>
        <v>-</v>
      </c>
      <c r="O292" s="42"/>
      <c r="Q292" s="51" t="s">
        <v>98</v>
      </c>
      <c r="R292" s="55"/>
      <c r="S292" s="52"/>
    </row>
    <row r="293" spans="8:19" s="27" customFormat="1" ht="15.75" x14ac:dyDescent="0.25">
      <c r="H293" s="43">
        <f t="shared" si="14"/>
        <v>45153</v>
      </c>
      <c r="I293" s="42"/>
      <c r="J293" s="42"/>
      <c r="K293" s="42"/>
      <c r="L293" s="42"/>
      <c r="M293" s="44"/>
      <c r="N293" s="45" t="str">
        <f>IFERROR(Miesiac_165[[#This Row],[Stawka]]/(Miesiac_165[[#This Row],[Trasa '[km']]]+Miesiac_165[[#This Row],[Podjazd '[km']]]),"-")</f>
        <v>-</v>
      </c>
      <c r="O293" s="42"/>
      <c r="Q293" s="51" t="s">
        <v>32</v>
      </c>
      <c r="R293" s="55"/>
      <c r="S293" s="52"/>
    </row>
    <row r="294" spans="8:19" s="27" customFormat="1" ht="15.75" x14ac:dyDescent="0.25">
      <c r="H294" s="43">
        <f t="shared" si="14"/>
        <v>45154</v>
      </c>
      <c r="I294" s="42"/>
      <c r="J294" s="42"/>
      <c r="K294" s="42"/>
      <c r="L294" s="42"/>
      <c r="M294" s="44"/>
      <c r="N294" s="45" t="str">
        <f>IFERROR(Miesiac_165[[#This Row],[Stawka]]/(Miesiac_165[[#This Row],[Trasa '[km']]]+Miesiac_165[[#This Row],[Podjazd '[km']]]),"-")</f>
        <v>-</v>
      </c>
      <c r="O294" s="42"/>
      <c r="Q294" s="51" t="s">
        <v>33</v>
      </c>
      <c r="R294" s="55"/>
      <c r="S294" s="52"/>
    </row>
    <row r="295" spans="8:19" s="27" customFormat="1" ht="15.75" x14ac:dyDescent="0.25">
      <c r="H295" s="43">
        <f t="shared" si="14"/>
        <v>45155</v>
      </c>
      <c r="I295" s="42"/>
      <c r="J295" s="42"/>
      <c r="K295" s="42"/>
      <c r="L295" s="42"/>
      <c r="M295" s="44"/>
      <c r="N295" s="45" t="str">
        <f>IFERROR(Miesiac_165[[#This Row],[Stawka]]/(Miesiac_165[[#This Row],[Trasa '[km']]]+Miesiac_165[[#This Row],[Podjazd '[km']]]),"-")</f>
        <v>-</v>
      </c>
      <c r="O295" s="42"/>
      <c r="Q295" s="51" t="s">
        <v>34</v>
      </c>
      <c r="R295" s="55"/>
      <c r="S295" s="52"/>
    </row>
    <row r="296" spans="8:19" s="27" customFormat="1" ht="15.75" x14ac:dyDescent="0.25">
      <c r="H296" s="43">
        <f t="shared" si="14"/>
        <v>45156</v>
      </c>
      <c r="I296" s="42"/>
      <c r="J296" s="42"/>
      <c r="K296" s="42"/>
      <c r="L296" s="42"/>
      <c r="M296" s="44"/>
      <c r="N296" s="45" t="str">
        <f>IFERROR(Miesiac_165[[#This Row],[Stawka]]/(Miesiac_165[[#This Row],[Trasa '[km']]]+Miesiac_165[[#This Row],[Podjazd '[km']]]),"-")</f>
        <v>-</v>
      </c>
      <c r="O296" s="42"/>
      <c r="Q296" s="51" t="s">
        <v>35</v>
      </c>
      <c r="R296" s="55"/>
      <c r="S296" s="52"/>
    </row>
    <row r="297" spans="8:19" s="27" customFormat="1" ht="15.75" x14ac:dyDescent="0.25">
      <c r="H297" s="43">
        <f t="shared" si="14"/>
        <v>45157</v>
      </c>
      <c r="I297" s="42"/>
      <c r="J297" s="42"/>
      <c r="K297" s="42"/>
      <c r="L297" s="42"/>
      <c r="M297" s="44"/>
      <c r="N297" s="45" t="str">
        <f>IFERROR(Miesiac_165[[#This Row],[Stawka]]/(Miesiac_165[[#This Row],[Trasa '[km']]]+Miesiac_165[[#This Row],[Podjazd '[km']]]),"-")</f>
        <v>-</v>
      </c>
      <c r="O297" s="42"/>
      <c r="Q297" s="51" t="s">
        <v>116</v>
      </c>
      <c r="R297" s="55"/>
      <c r="S297" s="52"/>
    </row>
    <row r="298" spans="8:19" s="27" customFormat="1" ht="15.75" x14ac:dyDescent="0.25">
      <c r="H298" s="43">
        <f t="shared" si="14"/>
        <v>45158</v>
      </c>
      <c r="I298" s="42"/>
      <c r="J298" s="42"/>
      <c r="K298" s="42"/>
      <c r="L298" s="42"/>
      <c r="M298" s="44"/>
      <c r="N298" s="45" t="str">
        <f>IFERROR(Miesiac_165[[#This Row],[Stawka]]/(Miesiac_165[[#This Row],[Trasa '[km']]]+Miesiac_165[[#This Row],[Podjazd '[km']]]),"-")</f>
        <v>-</v>
      </c>
      <c r="O298" s="42"/>
      <c r="Q298" s="51" t="s">
        <v>117</v>
      </c>
      <c r="R298" s="55"/>
      <c r="S298" s="52"/>
    </row>
    <row r="299" spans="8:19" s="27" customFormat="1" ht="15.75" x14ac:dyDescent="0.25">
      <c r="H299" s="43">
        <f t="shared" si="14"/>
        <v>45159</v>
      </c>
      <c r="I299" s="42"/>
      <c r="J299" s="42"/>
      <c r="K299" s="42"/>
      <c r="L299" s="42"/>
      <c r="M299" s="44"/>
      <c r="N299" s="45" t="str">
        <f>IFERROR(Miesiac_165[[#This Row],[Stawka]]/(Miesiac_165[[#This Row],[Trasa '[km']]]+Miesiac_165[[#This Row],[Podjazd '[km']]]),"-")</f>
        <v>-</v>
      </c>
      <c r="O299" s="42"/>
      <c r="Q299" s="51" t="s">
        <v>118</v>
      </c>
      <c r="R299" s="55"/>
      <c r="S299" s="52"/>
    </row>
    <row r="300" spans="8:19" s="27" customFormat="1" ht="15.75" x14ac:dyDescent="0.25">
      <c r="H300" s="43">
        <f t="shared" si="14"/>
        <v>45160</v>
      </c>
      <c r="I300" s="42"/>
      <c r="J300" s="42"/>
      <c r="K300" s="42"/>
      <c r="L300" s="42"/>
      <c r="M300" s="44"/>
      <c r="N300" s="45" t="str">
        <f>IFERROR(Miesiac_165[[#This Row],[Stawka]]/(Miesiac_165[[#This Row],[Trasa '[km']]]+Miesiac_165[[#This Row],[Podjazd '[km']]]),"-")</f>
        <v>-</v>
      </c>
      <c r="O300" s="42"/>
      <c r="Q300" s="51" t="s">
        <v>119</v>
      </c>
      <c r="R300" s="55"/>
      <c r="S300" s="52"/>
    </row>
    <row r="301" spans="8:19" s="27" customFormat="1" ht="15.75" x14ac:dyDescent="0.25">
      <c r="H301" s="43">
        <f t="shared" si="14"/>
        <v>45161</v>
      </c>
      <c r="I301" s="42"/>
      <c r="J301" s="42"/>
      <c r="K301" s="42"/>
      <c r="L301" s="42"/>
      <c r="M301" s="44"/>
      <c r="N301" s="45" t="str">
        <f>IFERROR(Miesiac_165[[#This Row],[Stawka]]/(Miesiac_165[[#This Row],[Trasa '[km']]]+Miesiac_165[[#This Row],[Podjazd '[km']]]),"-")</f>
        <v>-</v>
      </c>
      <c r="O301" s="42"/>
      <c r="Q301" s="51" t="s">
        <v>120</v>
      </c>
      <c r="R301" s="55"/>
      <c r="S301" s="52"/>
    </row>
    <row r="302" spans="8:19" s="27" customFormat="1" ht="15.75" x14ac:dyDescent="0.25">
      <c r="H302" s="43">
        <f t="shared" si="14"/>
        <v>45162</v>
      </c>
      <c r="I302" s="42"/>
      <c r="J302" s="42"/>
      <c r="K302" s="42"/>
      <c r="L302" s="42"/>
      <c r="M302" s="44"/>
      <c r="N302" s="45" t="str">
        <f>IFERROR(Miesiac_165[[#This Row],[Stawka]]/(Miesiac_165[[#This Row],[Trasa '[km']]]+Miesiac_165[[#This Row],[Podjazd '[km']]]),"-")</f>
        <v>-</v>
      </c>
      <c r="O302" s="42"/>
      <c r="Q302" s="51" t="s">
        <v>121</v>
      </c>
      <c r="R302" s="55"/>
      <c r="S302" s="52"/>
    </row>
    <row r="303" spans="8:19" s="27" customFormat="1" ht="15.75" x14ac:dyDescent="0.25">
      <c r="H303" s="43">
        <f t="shared" si="14"/>
        <v>45163</v>
      </c>
      <c r="I303" s="42"/>
      <c r="J303" s="42"/>
      <c r="K303" s="42"/>
      <c r="L303" s="42"/>
      <c r="M303" s="44"/>
      <c r="N303" s="45" t="str">
        <f>IFERROR(Miesiac_165[[#This Row],[Stawka]]/(Miesiac_165[[#This Row],[Trasa '[km']]]+Miesiac_165[[#This Row],[Podjazd '[km']]]),"-")</f>
        <v>-</v>
      </c>
      <c r="O303" s="42"/>
      <c r="Q303" s="51" t="s">
        <v>122</v>
      </c>
      <c r="R303" s="55"/>
      <c r="S303" s="52"/>
    </row>
    <row r="304" spans="8:19" s="27" customFormat="1" ht="18.75" x14ac:dyDescent="0.3">
      <c r="H304" s="43">
        <f t="shared" si="14"/>
        <v>45164</v>
      </c>
      <c r="I304" s="42"/>
      <c r="J304" s="42"/>
      <c r="K304" s="42"/>
      <c r="L304" s="42"/>
      <c r="M304" s="44"/>
      <c r="N304" s="45" t="str">
        <f>IFERROR(Miesiac_165[[#This Row],[Stawka]]/(Miesiac_165[[#This Row],[Trasa '[km']]]+Miesiac_165[[#This Row],[Podjazd '[km']]]),"-")</f>
        <v>-</v>
      </c>
      <c r="O304" s="42"/>
      <c r="Q304" s="28" t="s">
        <v>36</v>
      </c>
      <c r="R304" s="29">
        <f>SUBTOTAL(109,Koszty_8[Kwota PLN '[netto']])</f>
        <v>0</v>
      </c>
      <c r="S304" s="30">
        <f>SUBTOTAL(109,Koszty_8[Kwota € '[netto']])</f>
        <v>0</v>
      </c>
    </row>
    <row r="305" spans="8:19" s="27" customFormat="1" ht="15.75" x14ac:dyDescent="0.25">
      <c r="H305" s="43">
        <f t="shared" si="14"/>
        <v>45165</v>
      </c>
      <c r="I305" s="42"/>
      <c r="J305" s="42"/>
      <c r="K305" s="42"/>
      <c r="L305" s="42"/>
      <c r="M305" s="44"/>
      <c r="N305" s="45" t="str">
        <f>IFERROR(Miesiac_165[[#This Row],[Stawka]]/(Miesiac_165[[#This Row],[Trasa '[km']]]+Miesiac_165[[#This Row],[Podjazd '[km']]]),"-")</f>
        <v>-</v>
      </c>
      <c r="O305" s="42"/>
      <c r="Q305" s="1"/>
      <c r="R305" s="1"/>
      <c r="S305" s="1"/>
    </row>
    <row r="306" spans="8:19" s="27" customFormat="1" ht="15.75" x14ac:dyDescent="0.25">
      <c r="H306" s="50">
        <f>IF(H305&lt;&gt;"-",IF(MONTH(H305)=MONTH(H305+1),H305+1,"-"),"-")</f>
        <v>45166</v>
      </c>
      <c r="I306" s="42"/>
      <c r="J306" s="42"/>
      <c r="K306" s="42"/>
      <c r="L306" s="42"/>
      <c r="M306" s="44"/>
      <c r="N306" s="45" t="str">
        <f>IFERROR(Miesiac_165[[#This Row],[Stawka]]/(Miesiac_165[[#This Row],[Trasa '[km']]]+Miesiac_165[[#This Row],[Podjazd '[km']]]),"-")</f>
        <v>-</v>
      </c>
      <c r="O306" s="42"/>
      <c r="Q306" s="1"/>
      <c r="R306" s="1"/>
      <c r="S306" s="1"/>
    </row>
    <row r="307" spans="8:19" s="27" customFormat="1" ht="15.75" x14ac:dyDescent="0.25">
      <c r="H307" s="50">
        <f t="shared" ref="H307:H309" si="15">IF(H306&lt;&gt;"-",IF(MONTH(H306)=MONTH(H306+1),H306+1,"-"),"-")</f>
        <v>45167</v>
      </c>
      <c r="I307" s="42"/>
      <c r="J307" s="42"/>
      <c r="K307" s="42"/>
      <c r="L307" s="42"/>
      <c r="M307" s="44"/>
      <c r="N307" s="45" t="str">
        <f>IFERROR(Miesiac_165[[#This Row],[Stawka]]/(Miesiac_165[[#This Row],[Trasa '[km']]]+Miesiac_165[[#This Row],[Podjazd '[km']]]),"-")</f>
        <v>-</v>
      </c>
      <c r="O307" s="42"/>
      <c r="Q307" s="1"/>
      <c r="R307" s="1"/>
      <c r="S307" s="1"/>
    </row>
    <row r="308" spans="8:19" s="27" customFormat="1" ht="15.75" x14ac:dyDescent="0.25">
      <c r="H308" s="50">
        <f t="shared" si="15"/>
        <v>45168</v>
      </c>
      <c r="I308" s="42"/>
      <c r="J308" s="42"/>
      <c r="K308" s="42"/>
      <c r="L308" s="42"/>
      <c r="M308" s="44"/>
      <c r="N308" s="45" t="str">
        <f>IFERROR(Miesiac_165[[#This Row],[Stawka]]/(Miesiac_165[[#This Row],[Trasa '[km']]]+Miesiac_165[[#This Row],[Podjazd '[km']]]),"-")</f>
        <v>-</v>
      </c>
      <c r="O308" s="42"/>
      <c r="Q308" s="1"/>
      <c r="R308" s="1"/>
      <c r="S308" s="1"/>
    </row>
    <row r="309" spans="8:19" s="27" customFormat="1" ht="15.75" x14ac:dyDescent="0.25">
      <c r="H309" s="50">
        <f t="shared" si="15"/>
        <v>45169</v>
      </c>
      <c r="I309" s="51"/>
      <c r="J309" s="51"/>
      <c r="K309" s="51"/>
      <c r="L309" s="51"/>
      <c r="M309" s="52"/>
      <c r="N309" s="53" t="str">
        <f>IFERROR(Miesiac_165[[#This Row],[Stawka]]/(Miesiac_165[[#This Row],[Trasa '[km']]]+Miesiac_165[[#This Row],[Podjazd '[km']]]),"-")</f>
        <v>-</v>
      </c>
      <c r="O309" s="51"/>
      <c r="Q309" s="31" t="s">
        <v>89</v>
      </c>
      <c r="R309" s="32"/>
      <c r="S309" s="33" t="s">
        <v>90</v>
      </c>
    </row>
    <row r="310" spans="8:19" ht="15.75" x14ac:dyDescent="0.25">
      <c r="Q310" s="31" t="s">
        <v>91</v>
      </c>
      <c r="R310" s="33"/>
      <c r="S310" s="33" t="s">
        <v>90</v>
      </c>
    </row>
    <row r="311" spans="8:19" ht="19.5" thickBot="1" x14ac:dyDescent="0.35">
      <c r="J311" s="80" t="s">
        <v>55</v>
      </c>
      <c r="K311" s="80">
        <f>SUM(Miesiac_165[Podjazd '[km']])</f>
        <v>0</v>
      </c>
      <c r="L311" s="80">
        <f>SUM(Miesiac_165[Trasa '[km']])</f>
        <v>0</v>
      </c>
      <c r="M311" s="81">
        <f>SUM(Miesiac_165[Stawka])</f>
        <v>0</v>
      </c>
      <c r="N311" s="82" t="str">
        <f>IFERROR(M311/(L311+K311),"-")</f>
        <v>-</v>
      </c>
      <c r="Q311" s="84" t="s">
        <v>92</v>
      </c>
      <c r="R311" s="85">
        <f>R310-R309</f>
        <v>0</v>
      </c>
      <c r="S311" s="85" t="s">
        <v>90</v>
      </c>
    </row>
    <row r="312" spans="8:19" ht="21.75" thickBot="1" x14ac:dyDescent="0.4">
      <c r="J312" s="80" t="s">
        <v>56</v>
      </c>
      <c r="K312" s="83"/>
      <c r="L312" s="149">
        <f>M311/B13</f>
        <v>0</v>
      </c>
      <c r="M312" s="149"/>
      <c r="N312" s="149"/>
      <c r="Q312" s="88" t="s">
        <v>110</v>
      </c>
      <c r="R312" s="89" t="str">
        <f>IFERROR(M311/R311,"-")</f>
        <v>-</v>
      </c>
      <c r="S312" s="90"/>
    </row>
    <row r="313" spans="8:19" x14ac:dyDescent="0.25"/>
    <row r="314" spans="8:19" ht="15.75" thickBot="1" x14ac:dyDescent="0.3"/>
    <row r="315" spans="8:19" ht="24" thickBot="1" x14ac:dyDescent="0.4">
      <c r="H315" s="150" t="s">
        <v>14</v>
      </c>
      <c r="I315" s="151"/>
      <c r="J315" s="87">
        <v>2023</v>
      </c>
    </row>
    <row r="316" spans="8:19" x14ac:dyDescent="0.25">
      <c r="H316" s="7">
        <f>MATCH($H315,{"styczeń";"luty";"marzec";"kwiecień";"maj";"czerwiec";"lipiec";"sierpień";"wrzesień";"październik";"listopad";"grudzień"},0)</f>
        <v>9</v>
      </c>
    </row>
    <row r="317" spans="8:19" ht="35.1" customHeight="1" x14ac:dyDescent="0.25">
      <c r="H317" s="77" t="s">
        <v>0</v>
      </c>
      <c r="I317" s="77" t="s">
        <v>1</v>
      </c>
      <c r="J317" s="77" t="s">
        <v>2</v>
      </c>
      <c r="K317" s="77" t="s">
        <v>4</v>
      </c>
      <c r="L317" s="77" t="s">
        <v>3</v>
      </c>
      <c r="M317" s="77" t="s">
        <v>114</v>
      </c>
      <c r="N317" s="77" t="s">
        <v>115</v>
      </c>
      <c r="O317" s="78" t="s">
        <v>19</v>
      </c>
      <c r="Q317" s="77" t="s">
        <v>93</v>
      </c>
      <c r="R317" s="77" t="s">
        <v>49</v>
      </c>
      <c r="S317" s="77" t="s">
        <v>48</v>
      </c>
    </row>
    <row r="318" spans="8:19" s="27" customFormat="1" ht="15.75" x14ac:dyDescent="0.25">
      <c r="H318" s="38">
        <f>DATE(J315,H316,1)</f>
        <v>45170</v>
      </c>
      <c r="I318" s="39"/>
      <c r="J318" s="39"/>
      <c r="K318" s="39"/>
      <c r="L318" s="39"/>
      <c r="M318" s="40"/>
      <c r="N318" s="41" t="str">
        <f>IFERROR(Miesiac_167[[#This Row],[Stawka]]/(Miesiac_167[[#This Row],[Trasa '[km']]]+Miesiac_167[[#This Row],[Podjazd '[km']]]),"-")</f>
        <v>-</v>
      </c>
      <c r="O318" s="42"/>
      <c r="Q318" s="51" t="s">
        <v>53</v>
      </c>
      <c r="R318" s="55"/>
      <c r="S318" s="52"/>
    </row>
    <row r="319" spans="8:19" s="27" customFormat="1" ht="15.75" x14ac:dyDescent="0.25">
      <c r="H319" s="43">
        <f>H318+1</f>
        <v>45171</v>
      </c>
      <c r="I319" s="42"/>
      <c r="J319" s="42"/>
      <c r="K319" s="42"/>
      <c r="L319" s="42"/>
      <c r="M319" s="44"/>
      <c r="N319" s="45" t="str">
        <f>IFERROR(Miesiac_167[[#This Row],[Stawka]]/(Miesiac_167[[#This Row],[Trasa '[km']]]+Miesiac_167[[#This Row],[Podjazd '[km']]]),"-")</f>
        <v>-</v>
      </c>
      <c r="O319" s="46"/>
      <c r="Q319" s="51" t="s">
        <v>54</v>
      </c>
      <c r="R319" s="55"/>
      <c r="S319" s="52"/>
    </row>
    <row r="320" spans="8:19" s="27" customFormat="1" ht="15.75" x14ac:dyDescent="0.25">
      <c r="H320" s="43">
        <f t="shared" ref="H320:H344" si="16">H319+1</f>
        <v>45172</v>
      </c>
      <c r="I320" s="42"/>
      <c r="J320" s="42"/>
      <c r="K320" s="42"/>
      <c r="L320" s="42"/>
      <c r="M320" s="44"/>
      <c r="N320" s="45" t="str">
        <f>IFERROR(Miesiac_167[[#This Row],[Stawka]]/(Miesiac_167[[#This Row],[Trasa '[km']]]+Miesiac_167[[#This Row],[Podjazd '[km']]]),"-")</f>
        <v>-</v>
      </c>
      <c r="O320" s="42"/>
      <c r="Q320" s="51" t="s">
        <v>37</v>
      </c>
      <c r="R320" s="55"/>
      <c r="S320" s="52"/>
    </row>
    <row r="321" spans="8:19" s="27" customFormat="1" ht="15.75" x14ac:dyDescent="0.25">
      <c r="H321" s="43">
        <f t="shared" si="16"/>
        <v>45173</v>
      </c>
      <c r="I321" s="42"/>
      <c r="J321" s="42"/>
      <c r="K321" s="42"/>
      <c r="L321" s="42"/>
      <c r="M321" s="44"/>
      <c r="N321" s="45" t="str">
        <f>IFERROR(Miesiac_167[[#This Row],[Stawka]]/(Miesiac_167[[#This Row],[Trasa '[km']]]+Miesiac_167[[#This Row],[Podjazd '[km']]]),"-")</f>
        <v>-</v>
      </c>
      <c r="O321" s="39"/>
      <c r="Q321" s="51" t="s">
        <v>43</v>
      </c>
      <c r="R321" s="55"/>
      <c r="S321" s="52"/>
    </row>
    <row r="322" spans="8:19" s="27" customFormat="1" ht="15.75" x14ac:dyDescent="0.25">
      <c r="H322" s="43">
        <f t="shared" si="16"/>
        <v>45174</v>
      </c>
      <c r="I322" s="42"/>
      <c r="J322" s="42"/>
      <c r="K322" s="42"/>
      <c r="L322" s="42"/>
      <c r="M322" s="44"/>
      <c r="N322" s="45" t="str">
        <f>IFERROR(Miesiac_167[[#This Row],[Stawka]]/(Miesiac_167[[#This Row],[Trasa '[km']]]+Miesiac_167[[#This Row],[Podjazd '[km']]]),"-")</f>
        <v>-</v>
      </c>
      <c r="O322" s="39"/>
      <c r="Q322" s="51" t="s">
        <v>57</v>
      </c>
      <c r="R322" s="55"/>
      <c r="S322" s="52"/>
    </row>
    <row r="323" spans="8:19" s="27" customFormat="1" ht="15.75" x14ac:dyDescent="0.25">
      <c r="H323" s="43">
        <f t="shared" si="16"/>
        <v>45175</v>
      </c>
      <c r="I323" s="42"/>
      <c r="J323" s="42"/>
      <c r="K323" s="42"/>
      <c r="L323" s="42"/>
      <c r="M323" s="44"/>
      <c r="N323" s="45" t="str">
        <f>IFERROR(Miesiac_167[[#This Row],[Stawka]]/(Miesiac_167[[#This Row],[Trasa '[km']]]+Miesiac_167[[#This Row],[Podjazd '[km']]]),"-")</f>
        <v>-</v>
      </c>
      <c r="O323" s="42"/>
      <c r="Q323" s="51" t="s">
        <v>58</v>
      </c>
      <c r="R323" s="55"/>
      <c r="S323" s="52"/>
    </row>
    <row r="324" spans="8:19" s="27" customFormat="1" ht="15.75" x14ac:dyDescent="0.25">
      <c r="H324" s="43">
        <f t="shared" si="16"/>
        <v>45176</v>
      </c>
      <c r="I324" s="42"/>
      <c r="J324" s="42"/>
      <c r="K324" s="42"/>
      <c r="L324" s="42"/>
      <c r="M324" s="44"/>
      <c r="N324" s="45" t="str">
        <f>IFERROR(Miesiac_167[[#This Row],[Stawka]]/(Miesiac_167[[#This Row],[Trasa '[km']]]+Miesiac_167[[#This Row],[Podjazd '[km']]]),"-")</f>
        <v>-</v>
      </c>
      <c r="O324" s="42"/>
      <c r="Q324" s="51" t="s">
        <v>51</v>
      </c>
      <c r="R324" s="55"/>
      <c r="S324" s="52"/>
    </row>
    <row r="325" spans="8:19" s="27" customFormat="1" ht="15.75" x14ac:dyDescent="0.25">
      <c r="H325" s="43">
        <f t="shared" si="16"/>
        <v>45177</v>
      </c>
      <c r="I325" s="42"/>
      <c r="J325" s="42"/>
      <c r="K325" s="42"/>
      <c r="L325" s="42"/>
      <c r="M325" s="44"/>
      <c r="N325" s="45" t="str">
        <f>IFERROR(Miesiac_167[[#This Row],[Stawka]]/(Miesiac_167[[#This Row],[Trasa '[km']]]+Miesiac_167[[#This Row],[Podjazd '[km']]]),"-")</f>
        <v>-</v>
      </c>
      <c r="O325" s="42"/>
      <c r="Q325" s="51" t="s">
        <v>95</v>
      </c>
      <c r="R325" s="55"/>
      <c r="S325" s="52"/>
    </row>
    <row r="326" spans="8:19" s="27" customFormat="1" ht="15.75" x14ac:dyDescent="0.25">
      <c r="H326" s="43">
        <f t="shared" si="16"/>
        <v>45178</v>
      </c>
      <c r="I326" s="42"/>
      <c r="J326" s="42"/>
      <c r="K326" s="42"/>
      <c r="L326" s="42"/>
      <c r="M326" s="44"/>
      <c r="N326" s="45" t="str">
        <f>IFERROR(Miesiac_167[[#This Row],[Stawka]]/(Miesiac_167[[#This Row],[Trasa '[km']]]+Miesiac_167[[#This Row],[Podjazd '[km']]]),"-")</f>
        <v>-</v>
      </c>
      <c r="O326" s="42"/>
      <c r="Q326" s="51" t="s">
        <v>50</v>
      </c>
      <c r="R326" s="55"/>
      <c r="S326" s="52"/>
    </row>
    <row r="327" spans="8:19" s="27" customFormat="1" ht="15.75" x14ac:dyDescent="0.25">
      <c r="H327" s="43">
        <f t="shared" si="16"/>
        <v>45179</v>
      </c>
      <c r="I327" s="42"/>
      <c r="J327" s="42"/>
      <c r="K327" s="42"/>
      <c r="L327" s="42"/>
      <c r="M327" s="44"/>
      <c r="N327" s="45" t="str">
        <f>IFERROR(Miesiac_167[[#This Row],[Stawka]]/(Miesiac_167[[#This Row],[Trasa '[km']]]+Miesiac_167[[#This Row],[Podjazd '[km']]]),"-")</f>
        <v>-</v>
      </c>
      <c r="O327" s="42"/>
      <c r="Q327" s="51" t="s">
        <v>52</v>
      </c>
      <c r="R327" s="55"/>
      <c r="S327" s="52"/>
    </row>
    <row r="328" spans="8:19" s="27" customFormat="1" ht="15.75" x14ac:dyDescent="0.25">
      <c r="H328" s="43">
        <f t="shared" si="16"/>
        <v>45180</v>
      </c>
      <c r="I328" s="42"/>
      <c r="J328" s="42"/>
      <c r="K328" s="42"/>
      <c r="L328" s="42"/>
      <c r="M328" s="44"/>
      <c r="N328" s="45" t="str">
        <f>IFERROR(Miesiac_167[[#This Row],[Stawka]]/(Miesiac_167[[#This Row],[Trasa '[km']]]+Miesiac_167[[#This Row],[Podjazd '[km']]]),"-")</f>
        <v>-</v>
      </c>
      <c r="O328" s="42"/>
      <c r="Q328" s="51" t="s">
        <v>94</v>
      </c>
      <c r="R328" s="55"/>
      <c r="S328" s="52"/>
    </row>
    <row r="329" spans="8:19" s="27" customFormat="1" ht="15.75" x14ac:dyDescent="0.25">
      <c r="H329" s="43">
        <f t="shared" si="16"/>
        <v>45181</v>
      </c>
      <c r="I329" s="42"/>
      <c r="J329" s="42"/>
      <c r="K329" s="42"/>
      <c r="L329" s="42"/>
      <c r="M329" s="44"/>
      <c r="N329" s="45" t="str">
        <f>IFERROR(Miesiac_167[[#This Row],[Stawka]]/(Miesiac_167[[#This Row],[Trasa '[km']]]+Miesiac_167[[#This Row],[Podjazd '[km']]]),"-")</f>
        <v>-</v>
      </c>
      <c r="O329" s="42"/>
      <c r="Q329" s="51" t="s">
        <v>96</v>
      </c>
      <c r="R329" s="55"/>
      <c r="S329" s="52"/>
    </row>
    <row r="330" spans="8:19" s="27" customFormat="1" ht="15.75" x14ac:dyDescent="0.25">
      <c r="H330" s="43">
        <f t="shared" si="16"/>
        <v>45182</v>
      </c>
      <c r="I330" s="42"/>
      <c r="J330" s="42"/>
      <c r="K330" s="42"/>
      <c r="L330" s="42"/>
      <c r="M330" s="44"/>
      <c r="N330" s="45" t="str">
        <f>IFERROR(Miesiac_167[[#This Row],[Stawka]]/(Miesiac_167[[#This Row],[Trasa '[km']]]+Miesiac_167[[#This Row],[Podjazd '[km']]]),"-")</f>
        <v>-</v>
      </c>
      <c r="O330" s="42"/>
      <c r="Q330" s="51" t="s">
        <v>97</v>
      </c>
      <c r="R330" s="55"/>
      <c r="S330" s="52"/>
    </row>
    <row r="331" spans="8:19" s="27" customFormat="1" ht="15.75" x14ac:dyDescent="0.25">
      <c r="H331" s="43">
        <f t="shared" si="16"/>
        <v>45183</v>
      </c>
      <c r="I331" s="42"/>
      <c r="J331" s="42"/>
      <c r="K331" s="42"/>
      <c r="L331" s="42"/>
      <c r="M331" s="44"/>
      <c r="N331" s="45" t="str">
        <f>IFERROR(Miesiac_167[[#This Row],[Stawka]]/(Miesiac_167[[#This Row],[Trasa '[km']]]+Miesiac_167[[#This Row],[Podjazd '[km']]]),"-")</f>
        <v>-</v>
      </c>
      <c r="O331" s="42"/>
      <c r="Q331" s="51" t="s">
        <v>98</v>
      </c>
      <c r="R331" s="55"/>
      <c r="S331" s="52"/>
    </row>
    <row r="332" spans="8:19" s="27" customFormat="1" ht="15.75" x14ac:dyDescent="0.25">
      <c r="H332" s="43">
        <f t="shared" si="16"/>
        <v>45184</v>
      </c>
      <c r="I332" s="42"/>
      <c r="J332" s="42"/>
      <c r="K332" s="42"/>
      <c r="L332" s="42"/>
      <c r="M332" s="44"/>
      <c r="N332" s="45" t="str">
        <f>IFERROR(Miesiac_167[[#This Row],[Stawka]]/(Miesiac_167[[#This Row],[Trasa '[km']]]+Miesiac_167[[#This Row],[Podjazd '[km']]]),"-")</f>
        <v>-</v>
      </c>
      <c r="O332" s="42"/>
      <c r="Q332" s="51" t="s">
        <v>32</v>
      </c>
      <c r="R332" s="55"/>
      <c r="S332" s="52"/>
    </row>
    <row r="333" spans="8:19" s="27" customFormat="1" ht="15.75" x14ac:dyDescent="0.25">
      <c r="H333" s="43">
        <f t="shared" si="16"/>
        <v>45185</v>
      </c>
      <c r="I333" s="42"/>
      <c r="J333" s="42"/>
      <c r="K333" s="42"/>
      <c r="L333" s="42"/>
      <c r="M333" s="44"/>
      <c r="N333" s="45" t="str">
        <f>IFERROR(Miesiac_167[[#This Row],[Stawka]]/(Miesiac_167[[#This Row],[Trasa '[km']]]+Miesiac_167[[#This Row],[Podjazd '[km']]]),"-")</f>
        <v>-</v>
      </c>
      <c r="O333" s="42"/>
      <c r="Q333" s="51" t="s">
        <v>33</v>
      </c>
      <c r="R333" s="55"/>
      <c r="S333" s="52"/>
    </row>
    <row r="334" spans="8:19" s="27" customFormat="1" ht="15.75" x14ac:dyDescent="0.25">
      <c r="H334" s="43">
        <f t="shared" si="16"/>
        <v>45186</v>
      </c>
      <c r="I334" s="42"/>
      <c r="J334" s="42"/>
      <c r="K334" s="42"/>
      <c r="L334" s="42"/>
      <c r="M334" s="44"/>
      <c r="N334" s="45" t="str">
        <f>IFERROR(Miesiac_167[[#This Row],[Stawka]]/(Miesiac_167[[#This Row],[Trasa '[km']]]+Miesiac_167[[#This Row],[Podjazd '[km']]]),"-")</f>
        <v>-</v>
      </c>
      <c r="O334" s="42"/>
      <c r="Q334" s="51" t="s">
        <v>34</v>
      </c>
      <c r="R334" s="55"/>
      <c r="S334" s="52"/>
    </row>
    <row r="335" spans="8:19" s="27" customFormat="1" ht="15.75" x14ac:dyDescent="0.25">
      <c r="H335" s="43">
        <f t="shared" si="16"/>
        <v>45187</v>
      </c>
      <c r="I335" s="42"/>
      <c r="J335" s="42"/>
      <c r="K335" s="42"/>
      <c r="L335" s="42"/>
      <c r="M335" s="44"/>
      <c r="N335" s="45" t="str">
        <f>IFERROR(Miesiac_167[[#This Row],[Stawka]]/(Miesiac_167[[#This Row],[Trasa '[km']]]+Miesiac_167[[#This Row],[Podjazd '[km']]]),"-")</f>
        <v>-</v>
      </c>
      <c r="O335" s="42"/>
      <c r="Q335" s="51" t="s">
        <v>35</v>
      </c>
      <c r="R335" s="55"/>
      <c r="S335" s="52"/>
    </row>
    <row r="336" spans="8:19" s="27" customFormat="1" ht="15.75" x14ac:dyDescent="0.25">
      <c r="H336" s="43">
        <f t="shared" si="16"/>
        <v>45188</v>
      </c>
      <c r="I336" s="42"/>
      <c r="J336" s="42"/>
      <c r="K336" s="42"/>
      <c r="L336" s="42"/>
      <c r="M336" s="44"/>
      <c r="N336" s="45" t="str">
        <f>IFERROR(Miesiac_167[[#This Row],[Stawka]]/(Miesiac_167[[#This Row],[Trasa '[km']]]+Miesiac_167[[#This Row],[Podjazd '[km']]]),"-")</f>
        <v>-</v>
      </c>
      <c r="O336" s="42"/>
      <c r="Q336" s="51" t="s">
        <v>116</v>
      </c>
      <c r="R336" s="55"/>
      <c r="S336" s="52"/>
    </row>
    <row r="337" spans="8:19" s="27" customFormat="1" ht="15.75" x14ac:dyDescent="0.25">
      <c r="H337" s="43">
        <f t="shared" si="16"/>
        <v>45189</v>
      </c>
      <c r="I337" s="42"/>
      <c r="J337" s="42"/>
      <c r="K337" s="42"/>
      <c r="L337" s="42"/>
      <c r="M337" s="44"/>
      <c r="N337" s="45" t="str">
        <f>IFERROR(Miesiac_167[[#This Row],[Stawka]]/(Miesiac_167[[#This Row],[Trasa '[km']]]+Miesiac_167[[#This Row],[Podjazd '[km']]]),"-")</f>
        <v>-</v>
      </c>
      <c r="O337" s="42"/>
      <c r="Q337" s="51" t="s">
        <v>117</v>
      </c>
      <c r="R337" s="55"/>
      <c r="S337" s="52"/>
    </row>
    <row r="338" spans="8:19" s="27" customFormat="1" ht="15.75" x14ac:dyDescent="0.25">
      <c r="H338" s="43">
        <f t="shared" si="16"/>
        <v>45190</v>
      </c>
      <c r="I338" s="42"/>
      <c r="J338" s="42"/>
      <c r="K338" s="42"/>
      <c r="L338" s="42"/>
      <c r="M338" s="44"/>
      <c r="N338" s="45" t="str">
        <f>IFERROR(Miesiac_167[[#This Row],[Stawka]]/(Miesiac_167[[#This Row],[Trasa '[km']]]+Miesiac_167[[#This Row],[Podjazd '[km']]]),"-")</f>
        <v>-</v>
      </c>
      <c r="O338" s="42"/>
      <c r="Q338" s="51" t="s">
        <v>118</v>
      </c>
      <c r="R338" s="55"/>
      <c r="S338" s="52"/>
    </row>
    <row r="339" spans="8:19" s="27" customFormat="1" ht="15.75" x14ac:dyDescent="0.25">
      <c r="H339" s="43">
        <f t="shared" si="16"/>
        <v>45191</v>
      </c>
      <c r="I339" s="42"/>
      <c r="J339" s="42"/>
      <c r="K339" s="42"/>
      <c r="L339" s="42"/>
      <c r="M339" s="44"/>
      <c r="N339" s="45" t="str">
        <f>IFERROR(Miesiac_167[[#This Row],[Stawka]]/(Miesiac_167[[#This Row],[Trasa '[km']]]+Miesiac_167[[#This Row],[Podjazd '[km']]]),"-")</f>
        <v>-</v>
      </c>
      <c r="O339" s="42"/>
      <c r="Q339" s="51" t="s">
        <v>119</v>
      </c>
      <c r="R339" s="55"/>
      <c r="S339" s="52"/>
    </row>
    <row r="340" spans="8:19" s="27" customFormat="1" ht="15.75" x14ac:dyDescent="0.25">
      <c r="H340" s="43">
        <f t="shared" si="16"/>
        <v>45192</v>
      </c>
      <c r="I340" s="42"/>
      <c r="J340" s="42"/>
      <c r="K340" s="42"/>
      <c r="L340" s="42"/>
      <c r="M340" s="44"/>
      <c r="N340" s="45" t="str">
        <f>IFERROR(Miesiac_167[[#This Row],[Stawka]]/(Miesiac_167[[#This Row],[Trasa '[km']]]+Miesiac_167[[#This Row],[Podjazd '[km']]]),"-")</f>
        <v>-</v>
      </c>
      <c r="O340" s="42"/>
      <c r="Q340" s="51" t="s">
        <v>120</v>
      </c>
      <c r="R340" s="55"/>
      <c r="S340" s="52"/>
    </row>
    <row r="341" spans="8:19" s="27" customFormat="1" ht="15.75" x14ac:dyDescent="0.25">
      <c r="H341" s="43">
        <f t="shared" si="16"/>
        <v>45193</v>
      </c>
      <c r="I341" s="42"/>
      <c r="J341" s="42"/>
      <c r="K341" s="42"/>
      <c r="L341" s="42"/>
      <c r="M341" s="44"/>
      <c r="N341" s="45" t="str">
        <f>IFERROR(Miesiac_167[[#This Row],[Stawka]]/(Miesiac_167[[#This Row],[Trasa '[km']]]+Miesiac_167[[#This Row],[Podjazd '[km']]]),"-")</f>
        <v>-</v>
      </c>
      <c r="O341" s="42"/>
      <c r="Q341" s="51" t="s">
        <v>121</v>
      </c>
      <c r="R341" s="55"/>
      <c r="S341" s="52"/>
    </row>
    <row r="342" spans="8:19" s="27" customFormat="1" ht="15.75" x14ac:dyDescent="0.25">
      <c r="H342" s="43">
        <f t="shared" si="16"/>
        <v>45194</v>
      </c>
      <c r="I342" s="42"/>
      <c r="J342" s="42"/>
      <c r="K342" s="42"/>
      <c r="L342" s="42"/>
      <c r="M342" s="44"/>
      <c r="N342" s="45" t="str">
        <f>IFERROR(Miesiac_167[[#This Row],[Stawka]]/(Miesiac_167[[#This Row],[Trasa '[km']]]+Miesiac_167[[#This Row],[Podjazd '[km']]]),"-")</f>
        <v>-</v>
      </c>
      <c r="O342" s="42"/>
      <c r="Q342" s="51" t="s">
        <v>122</v>
      </c>
      <c r="R342" s="55"/>
      <c r="S342" s="52"/>
    </row>
    <row r="343" spans="8:19" s="27" customFormat="1" ht="18.75" x14ac:dyDescent="0.3">
      <c r="H343" s="43">
        <f t="shared" si="16"/>
        <v>45195</v>
      </c>
      <c r="I343" s="42"/>
      <c r="J343" s="42"/>
      <c r="K343" s="42"/>
      <c r="L343" s="42"/>
      <c r="M343" s="44"/>
      <c r="N343" s="45" t="str">
        <f>IFERROR(Miesiac_167[[#This Row],[Stawka]]/(Miesiac_167[[#This Row],[Trasa '[km']]]+Miesiac_167[[#This Row],[Podjazd '[km']]]),"-")</f>
        <v>-</v>
      </c>
      <c r="O343" s="42"/>
      <c r="Q343" s="28" t="s">
        <v>36</v>
      </c>
      <c r="R343" s="29">
        <f>SUBTOTAL(109,Koszty_9[Kwota PLN '[netto']])</f>
        <v>0</v>
      </c>
      <c r="S343" s="30">
        <f>SUBTOTAL(109,Koszty_9[Kwota € '[netto']])</f>
        <v>0</v>
      </c>
    </row>
    <row r="344" spans="8:19" s="27" customFormat="1" ht="15.75" x14ac:dyDescent="0.25">
      <c r="H344" s="43">
        <f t="shared" si="16"/>
        <v>45196</v>
      </c>
      <c r="I344" s="42"/>
      <c r="J344" s="42"/>
      <c r="K344" s="42"/>
      <c r="L344" s="42"/>
      <c r="M344" s="44"/>
      <c r="N344" s="45" t="str">
        <f>IFERROR(Miesiac_167[[#This Row],[Stawka]]/(Miesiac_167[[#This Row],[Trasa '[km']]]+Miesiac_167[[#This Row],[Podjazd '[km']]]),"-")</f>
        <v>-</v>
      </c>
      <c r="O344" s="42"/>
      <c r="Q344" s="1"/>
      <c r="R344" s="1"/>
      <c r="S344" s="1"/>
    </row>
    <row r="345" spans="8:19" s="27" customFormat="1" ht="15.75" x14ac:dyDescent="0.25">
      <c r="H345" s="50">
        <f>IF(H344&lt;&gt;"-",IF(MONTH(H344)=MONTH(H344+1),H344+1,"-"),"-")</f>
        <v>45197</v>
      </c>
      <c r="I345" s="42"/>
      <c r="J345" s="42"/>
      <c r="K345" s="42"/>
      <c r="L345" s="42"/>
      <c r="M345" s="44"/>
      <c r="N345" s="45" t="str">
        <f>IFERROR(Miesiac_167[[#This Row],[Stawka]]/(Miesiac_167[[#This Row],[Trasa '[km']]]+Miesiac_167[[#This Row],[Podjazd '[km']]]),"-")</f>
        <v>-</v>
      </c>
      <c r="O345" s="42"/>
      <c r="Q345" s="1"/>
      <c r="R345" s="1"/>
      <c r="S345" s="1"/>
    </row>
    <row r="346" spans="8:19" s="27" customFormat="1" ht="15.75" x14ac:dyDescent="0.25">
      <c r="H346" s="50">
        <f t="shared" ref="H346:H348" si="17">IF(H345&lt;&gt;"-",IF(MONTH(H345)=MONTH(H345+1),H345+1,"-"),"-")</f>
        <v>45198</v>
      </c>
      <c r="I346" s="42"/>
      <c r="J346" s="42"/>
      <c r="K346" s="42"/>
      <c r="L346" s="42"/>
      <c r="M346" s="44"/>
      <c r="N346" s="45" t="str">
        <f>IFERROR(Miesiac_167[[#This Row],[Stawka]]/(Miesiac_167[[#This Row],[Trasa '[km']]]+Miesiac_167[[#This Row],[Podjazd '[km']]]),"-")</f>
        <v>-</v>
      </c>
      <c r="O346" s="42"/>
      <c r="Q346" s="1"/>
      <c r="R346" s="1"/>
      <c r="S346" s="1"/>
    </row>
    <row r="347" spans="8:19" s="27" customFormat="1" ht="15.75" x14ac:dyDescent="0.25">
      <c r="H347" s="50">
        <f t="shared" si="17"/>
        <v>45199</v>
      </c>
      <c r="I347" s="42"/>
      <c r="J347" s="42"/>
      <c r="K347" s="42"/>
      <c r="L347" s="42"/>
      <c r="M347" s="44"/>
      <c r="N347" s="45" t="str">
        <f>IFERROR(Miesiac_167[[#This Row],[Stawka]]/(Miesiac_167[[#This Row],[Trasa '[km']]]+Miesiac_167[[#This Row],[Podjazd '[km']]]),"-")</f>
        <v>-</v>
      </c>
      <c r="O347" s="42"/>
      <c r="Q347" s="1"/>
      <c r="R347" s="1"/>
      <c r="S347" s="1"/>
    </row>
    <row r="348" spans="8:19" s="27" customFormat="1" ht="15.75" x14ac:dyDescent="0.25">
      <c r="H348" s="50" t="str">
        <f t="shared" si="17"/>
        <v>-</v>
      </c>
      <c r="I348" s="51"/>
      <c r="J348" s="51"/>
      <c r="K348" s="51"/>
      <c r="L348" s="51"/>
      <c r="M348" s="52"/>
      <c r="N348" s="53" t="str">
        <f>IFERROR(Miesiac_167[[#This Row],[Stawka]]/(Miesiac_167[[#This Row],[Trasa '[km']]]+Miesiac_167[[#This Row],[Podjazd '[km']]]),"-")</f>
        <v>-</v>
      </c>
      <c r="O348" s="51"/>
      <c r="Q348" s="31" t="s">
        <v>89</v>
      </c>
      <c r="R348" s="32"/>
      <c r="S348" s="33" t="s">
        <v>90</v>
      </c>
    </row>
    <row r="349" spans="8:19" ht="15.75" x14ac:dyDescent="0.25">
      <c r="Q349" s="31" t="s">
        <v>91</v>
      </c>
      <c r="R349" s="33"/>
      <c r="S349" s="33" t="s">
        <v>90</v>
      </c>
    </row>
    <row r="350" spans="8:19" ht="19.5" thickBot="1" x14ac:dyDescent="0.35">
      <c r="J350" s="80" t="s">
        <v>55</v>
      </c>
      <c r="K350" s="80">
        <f>SUM(Miesiac_167[Podjazd '[km']])</f>
        <v>0</v>
      </c>
      <c r="L350" s="80">
        <f>SUM(Miesiac_167[Trasa '[km']])</f>
        <v>0</v>
      </c>
      <c r="M350" s="81">
        <f>SUM(Miesiac_167[Stawka])</f>
        <v>0</v>
      </c>
      <c r="N350" s="82" t="str">
        <f>IFERROR(M350/(L350+K350),"-")</f>
        <v>-</v>
      </c>
      <c r="Q350" s="84" t="s">
        <v>92</v>
      </c>
      <c r="R350" s="85">
        <f>R349-R348</f>
        <v>0</v>
      </c>
      <c r="S350" s="85" t="s">
        <v>90</v>
      </c>
    </row>
    <row r="351" spans="8:19" ht="21.75" thickBot="1" x14ac:dyDescent="0.4">
      <c r="J351" s="80" t="s">
        <v>56</v>
      </c>
      <c r="K351" s="83"/>
      <c r="L351" s="149">
        <f>M350/B14</f>
        <v>0</v>
      </c>
      <c r="M351" s="149"/>
      <c r="N351" s="149"/>
      <c r="Q351" s="88" t="s">
        <v>110</v>
      </c>
      <c r="R351" s="89" t="str">
        <f>IFERROR(M350/R350,"-")</f>
        <v>-</v>
      </c>
      <c r="S351" s="90"/>
    </row>
    <row r="352" spans="8:19" x14ac:dyDescent="0.25"/>
    <row r="353" spans="8:19" ht="15.75" thickBot="1" x14ac:dyDescent="0.3"/>
    <row r="354" spans="8:19" ht="24" thickBot="1" x14ac:dyDescent="0.4">
      <c r="H354" s="150" t="s">
        <v>15</v>
      </c>
      <c r="I354" s="151"/>
      <c r="J354" s="87">
        <v>2023</v>
      </c>
    </row>
    <row r="355" spans="8:19" x14ac:dyDescent="0.25">
      <c r="H355" s="7">
        <f>MATCH(H354,{"styczeń";"luty";"marzec";"kwiecień";"maj";"czerwiec";"lipiec";"sierpień";"wrzesień";"październik";"listopad";"grudzień"},0)</f>
        <v>10</v>
      </c>
    </row>
    <row r="356" spans="8:19" ht="35.1" customHeight="1" x14ac:dyDescent="0.25">
      <c r="H356" s="77" t="s">
        <v>0</v>
      </c>
      <c r="I356" s="77" t="s">
        <v>1</v>
      </c>
      <c r="J356" s="77" t="s">
        <v>2</v>
      </c>
      <c r="K356" s="77" t="s">
        <v>4</v>
      </c>
      <c r="L356" s="77" t="s">
        <v>3</v>
      </c>
      <c r="M356" s="77" t="s">
        <v>114</v>
      </c>
      <c r="N356" s="77" t="s">
        <v>115</v>
      </c>
      <c r="O356" s="78" t="s">
        <v>19</v>
      </c>
      <c r="Q356" s="77" t="s">
        <v>93</v>
      </c>
      <c r="R356" s="77" t="s">
        <v>49</v>
      </c>
      <c r="S356" s="77" t="s">
        <v>48</v>
      </c>
    </row>
    <row r="357" spans="8:19" s="27" customFormat="1" ht="15.75" x14ac:dyDescent="0.25">
      <c r="H357" s="38">
        <f>DATE(J354,H355,1)</f>
        <v>45200</v>
      </c>
      <c r="I357" s="39"/>
      <c r="J357" s="39"/>
      <c r="K357" s="39"/>
      <c r="L357" s="39"/>
      <c r="M357" s="40"/>
      <c r="N357" s="41" t="str">
        <f>IFERROR(Miesiac_169[[#This Row],[Stawka]]/(Miesiac_169[[#This Row],[Trasa '[km']]]+Miesiac_169[[#This Row],[Podjazd '[km']]]),"-")</f>
        <v>-</v>
      </c>
      <c r="O357" s="42"/>
      <c r="Q357" s="51" t="s">
        <v>53</v>
      </c>
      <c r="R357" s="55"/>
      <c r="S357" s="52"/>
    </row>
    <row r="358" spans="8:19" s="27" customFormat="1" ht="15.75" x14ac:dyDescent="0.25">
      <c r="H358" s="43">
        <f>H357+1</f>
        <v>45201</v>
      </c>
      <c r="I358" s="42"/>
      <c r="J358" s="42"/>
      <c r="K358" s="42"/>
      <c r="L358" s="42"/>
      <c r="M358" s="44"/>
      <c r="N358" s="45" t="str">
        <f>IFERROR(Miesiac_169[[#This Row],[Stawka]]/(Miesiac_169[[#This Row],[Trasa '[km']]]+Miesiac_169[[#This Row],[Podjazd '[km']]]),"-")</f>
        <v>-</v>
      </c>
      <c r="O358" s="46"/>
      <c r="Q358" s="51" t="s">
        <v>54</v>
      </c>
      <c r="R358" s="55"/>
      <c r="S358" s="52"/>
    </row>
    <row r="359" spans="8:19" s="27" customFormat="1" ht="15.75" x14ac:dyDescent="0.25">
      <c r="H359" s="43">
        <f t="shared" ref="H359:H383" si="18">H358+1</f>
        <v>45202</v>
      </c>
      <c r="I359" s="42"/>
      <c r="J359" s="42"/>
      <c r="K359" s="42"/>
      <c r="L359" s="42"/>
      <c r="M359" s="44"/>
      <c r="N359" s="45" t="str">
        <f>IFERROR(Miesiac_169[[#This Row],[Stawka]]/(Miesiac_169[[#This Row],[Trasa '[km']]]+Miesiac_169[[#This Row],[Podjazd '[km']]]),"-")</f>
        <v>-</v>
      </c>
      <c r="O359" s="42"/>
      <c r="Q359" s="51" t="s">
        <v>37</v>
      </c>
      <c r="R359" s="55"/>
      <c r="S359" s="52"/>
    </row>
    <row r="360" spans="8:19" s="27" customFormat="1" ht="15.75" x14ac:dyDescent="0.25">
      <c r="H360" s="43">
        <f t="shared" si="18"/>
        <v>45203</v>
      </c>
      <c r="I360" s="42"/>
      <c r="J360" s="42"/>
      <c r="K360" s="42"/>
      <c r="L360" s="42"/>
      <c r="M360" s="44"/>
      <c r="N360" s="45" t="str">
        <f>IFERROR(Miesiac_169[[#This Row],[Stawka]]/(Miesiac_169[[#This Row],[Trasa '[km']]]+Miesiac_169[[#This Row],[Podjazd '[km']]]),"-")</f>
        <v>-</v>
      </c>
      <c r="O360" s="39"/>
      <c r="Q360" s="51" t="s">
        <v>43</v>
      </c>
      <c r="R360" s="55"/>
      <c r="S360" s="52"/>
    </row>
    <row r="361" spans="8:19" s="27" customFormat="1" ht="15.75" x14ac:dyDescent="0.25">
      <c r="H361" s="43">
        <f t="shared" si="18"/>
        <v>45204</v>
      </c>
      <c r="I361" s="42"/>
      <c r="J361" s="42"/>
      <c r="K361" s="42"/>
      <c r="L361" s="42"/>
      <c r="M361" s="44"/>
      <c r="N361" s="45" t="str">
        <f>IFERROR(Miesiac_169[[#This Row],[Stawka]]/(Miesiac_169[[#This Row],[Trasa '[km']]]+Miesiac_169[[#This Row],[Podjazd '[km']]]),"-")</f>
        <v>-</v>
      </c>
      <c r="O361" s="39"/>
      <c r="Q361" s="51" t="s">
        <v>57</v>
      </c>
      <c r="R361" s="55"/>
      <c r="S361" s="52"/>
    </row>
    <row r="362" spans="8:19" s="27" customFormat="1" ht="15.75" x14ac:dyDescent="0.25">
      <c r="H362" s="43">
        <f t="shared" si="18"/>
        <v>45205</v>
      </c>
      <c r="I362" s="42"/>
      <c r="J362" s="42"/>
      <c r="K362" s="42"/>
      <c r="L362" s="42"/>
      <c r="M362" s="44"/>
      <c r="N362" s="45" t="str">
        <f>IFERROR(Miesiac_169[[#This Row],[Stawka]]/(Miesiac_169[[#This Row],[Trasa '[km']]]+Miesiac_169[[#This Row],[Podjazd '[km']]]),"-")</f>
        <v>-</v>
      </c>
      <c r="O362" s="42"/>
      <c r="Q362" s="51" t="s">
        <v>58</v>
      </c>
      <c r="R362" s="55"/>
      <c r="S362" s="52"/>
    </row>
    <row r="363" spans="8:19" s="27" customFormat="1" ht="15.75" x14ac:dyDescent="0.25">
      <c r="H363" s="43">
        <f t="shared" si="18"/>
        <v>45206</v>
      </c>
      <c r="I363" s="42"/>
      <c r="J363" s="42"/>
      <c r="K363" s="42"/>
      <c r="L363" s="42"/>
      <c r="M363" s="44"/>
      <c r="N363" s="45" t="str">
        <f>IFERROR(Miesiac_169[[#This Row],[Stawka]]/(Miesiac_169[[#This Row],[Trasa '[km']]]+Miesiac_169[[#This Row],[Podjazd '[km']]]),"-")</f>
        <v>-</v>
      </c>
      <c r="O363" s="42"/>
      <c r="Q363" s="51" t="s">
        <v>51</v>
      </c>
      <c r="R363" s="55"/>
      <c r="S363" s="52"/>
    </row>
    <row r="364" spans="8:19" s="27" customFormat="1" ht="15.75" x14ac:dyDescent="0.25">
      <c r="H364" s="43">
        <f t="shared" si="18"/>
        <v>45207</v>
      </c>
      <c r="I364" s="42"/>
      <c r="J364" s="42"/>
      <c r="K364" s="42"/>
      <c r="L364" s="42"/>
      <c r="M364" s="44"/>
      <c r="N364" s="45" t="str">
        <f>IFERROR(Miesiac_169[[#This Row],[Stawka]]/(Miesiac_169[[#This Row],[Trasa '[km']]]+Miesiac_169[[#This Row],[Podjazd '[km']]]),"-")</f>
        <v>-</v>
      </c>
      <c r="O364" s="42"/>
      <c r="Q364" s="51" t="s">
        <v>95</v>
      </c>
      <c r="R364" s="55"/>
      <c r="S364" s="52"/>
    </row>
    <row r="365" spans="8:19" s="27" customFormat="1" ht="15.75" x14ac:dyDescent="0.25">
      <c r="H365" s="43">
        <f t="shared" si="18"/>
        <v>45208</v>
      </c>
      <c r="I365" s="42"/>
      <c r="J365" s="42"/>
      <c r="K365" s="42"/>
      <c r="L365" s="42"/>
      <c r="M365" s="44"/>
      <c r="N365" s="45" t="str">
        <f>IFERROR(Miesiac_169[[#This Row],[Stawka]]/(Miesiac_169[[#This Row],[Trasa '[km']]]+Miesiac_169[[#This Row],[Podjazd '[km']]]),"-")</f>
        <v>-</v>
      </c>
      <c r="O365" s="42"/>
      <c r="Q365" s="51" t="s">
        <v>50</v>
      </c>
      <c r="R365" s="55"/>
      <c r="S365" s="52"/>
    </row>
    <row r="366" spans="8:19" s="27" customFormat="1" ht="15.75" x14ac:dyDescent="0.25">
      <c r="H366" s="43">
        <f t="shared" si="18"/>
        <v>45209</v>
      </c>
      <c r="I366" s="42"/>
      <c r="J366" s="42"/>
      <c r="K366" s="42"/>
      <c r="L366" s="42"/>
      <c r="M366" s="44"/>
      <c r="N366" s="45" t="str">
        <f>IFERROR(Miesiac_169[[#This Row],[Stawka]]/(Miesiac_169[[#This Row],[Trasa '[km']]]+Miesiac_169[[#This Row],[Podjazd '[km']]]),"-")</f>
        <v>-</v>
      </c>
      <c r="O366" s="42"/>
      <c r="Q366" s="51" t="s">
        <v>52</v>
      </c>
      <c r="R366" s="55"/>
      <c r="S366" s="52"/>
    </row>
    <row r="367" spans="8:19" s="27" customFormat="1" ht="15.75" x14ac:dyDescent="0.25">
      <c r="H367" s="43">
        <f t="shared" si="18"/>
        <v>45210</v>
      </c>
      <c r="I367" s="42"/>
      <c r="J367" s="42"/>
      <c r="K367" s="42"/>
      <c r="L367" s="42"/>
      <c r="M367" s="44"/>
      <c r="N367" s="45" t="str">
        <f>IFERROR(Miesiac_169[[#This Row],[Stawka]]/(Miesiac_169[[#This Row],[Trasa '[km']]]+Miesiac_169[[#This Row],[Podjazd '[km']]]),"-")</f>
        <v>-</v>
      </c>
      <c r="O367" s="42"/>
      <c r="Q367" s="51" t="s">
        <v>94</v>
      </c>
      <c r="R367" s="55"/>
      <c r="S367" s="52"/>
    </row>
    <row r="368" spans="8:19" s="27" customFormat="1" ht="15.75" x14ac:dyDescent="0.25">
      <c r="H368" s="43">
        <f t="shared" si="18"/>
        <v>45211</v>
      </c>
      <c r="I368" s="42"/>
      <c r="J368" s="42"/>
      <c r="K368" s="42"/>
      <c r="L368" s="42"/>
      <c r="M368" s="44"/>
      <c r="N368" s="45" t="str">
        <f>IFERROR(Miesiac_169[[#This Row],[Stawka]]/(Miesiac_169[[#This Row],[Trasa '[km']]]+Miesiac_169[[#This Row],[Podjazd '[km']]]),"-")</f>
        <v>-</v>
      </c>
      <c r="O368" s="42"/>
      <c r="Q368" s="51" t="s">
        <v>96</v>
      </c>
      <c r="R368" s="55"/>
      <c r="S368" s="52"/>
    </row>
    <row r="369" spans="8:19" s="27" customFormat="1" ht="15.75" x14ac:dyDescent="0.25">
      <c r="H369" s="43">
        <f t="shared" si="18"/>
        <v>45212</v>
      </c>
      <c r="I369" s="42"/>
      <c r="J369" s="42"/>
      <c r="K369" s="42"/>
      <c r="L369" s="42"/>
      <c r="M369" s="44"/>
      <c r="N369" s="45" t="str">
        <f>IFERROR(Miesiac_169[[#This Row],[Stawka]]/(Miesiac_169[[#This Row],[Trasa '[km']]]+Miesiac_169[[#This Row],[Podjazd '[km']]]),"-")</f>
        <v>-</v>
      </c>
      <c r="O369" s="42"/>
      <c r="Q369" s="51" t="s">
        <v>97</v>
      </c>
      <c r="R369" s="55"/>
      <c r="S369" s="52"/>
    </row>
    <row r="370" spans="8:19" s="27" customFormat="1" ht="15.75" x14ac:dyDescent="0.25">
      <c r="H370" s="43">
        <f t="shared" si="18"/>
        <v>45213</v>
      </c>
      <c r="I370" s="42"/>
      <c r="J370" s="42"/>
      <c r="K370" s="42"/>
      <c r="L370" s="42"/>
      <c r="M370" s="44"/>
      <c r="N370" s="45" t="str">
        <f>IFERROR(Miesiac_169[[#This Row],[Stawka]]/(Miesiac_169[[#This Row],[Trasa '[km']]]+Miesiac_169[[#This Row],[Podjazd '[km']]]),"-")</f>
        <v>-</v>
      </c>
      <c r="O370" s="42"/>
      <c r="Q370" s="51" t="s">
        <v>98</v>
      </c>
      <c r="R370" s="55"/>
      <c r="S370" s="52"/>
    </row>
    <row r="371" spans="8:19" s="27" customFormat="1" ht="15.75" x14ac:dyDescent="0.25">
      <c r="H371" s="43">
        <f t="shared" si="18"/>
        <v>45214</v>
      </c>
      <c r="I371" s="42"/>
      <c r="J371" s="42"/>
      <c r="K371" s="42"/>
      <c r="L371" s="42"/>
      <c r="M371" s="44"/>
      <c r="N371" s="45" t="str">
        <f>IFERROR(Miesiac_169[[#This Row],[Stawka]]/(Miesiac_169[[#This Row],[Trasa '[km']]]+Miesiac_169[[#This Row],[Podjazd '[km']]]),"-")</f>
        <v>-</v>
      </c>
      <c r="O371" s="42"/>
      <c r="Q371" s="51" t="s">
        <v>32</v>
      </c>
      <c r="R371" s="55"/>
      <c r="S371" s="52"/>
    </row>
    <row r="372" spans="8:19" s="27" customFormat="1" ht="15.75" x14ac:dyDescent="0.25">
      <c r="H372" s="43">
        <f t="shared" si="18"/>
        <v>45215</v>
      </c>
      <c r="I372" s="42"/>
      <c r="J372" s="42"/>
      <c r="K372" s="42"/>
      <c r="L372" s="42"/>
      <c r="M372" s="44"/>
      <c r="N372" s="45" t="str">
        <f>IFERROR(Miesiac_169[[#This Row],[Stawka]]/(Miesiac_169[[#This Row],[Trasa '[km']]]+Miesiac_169[[#This Row],[Podjazd '[km']]]),"-")</f>
        <v>-</v>
      </c>
      <c r="O372" s="42"/>
      <c r="Q372" s="51" t="s">
        <v>33</v>
      </c>
      <c r="R372" s="55"/>
      <c r="S372" s="52"/>
    </row>
    <row r="373" spans="8:19" s="27" customFormat="1" ht="15.75" x14ac:dyDescent="0.25">
      <c r="H373" s="43">
        <f t="shared" si="18"/>
        <v>45216</v>
      </c>
      <c r="I373" s="42"/>
      <c r="J373" s="42"/>
      <c r="K373" s="42"/>
      <c r="L373" s="42"/>
      <c r="M373" s="44"/>
      <c r="N373" s="45" t="str">
        <f>IFERROR(Miesiac_169[[#This Row],[Stawka]]/(Miesiac_169[[#This Row],[Trasa '[km']]]+Miesiac_169[[#This Row],[Podjazd '[km']]]),"-")</f>
        <v>-</v>
      </c>
      <c r="O373" s="42"/>
      <c r="Q373" s="51" t="s">
        <v>34</v>
      </c>
      <c r="R373" s="55"/>
      <c r="S373" s="52"/>
    </row>
    <row r="374" spans="8:19" s="27" customFormat="1" ht="15.75" x14ac:dyDescent="0.25">
      <c r="H374" s="43">
        <f t="shared" si="18"/>
        <v>45217</v>
      </c>
      <c r="I374" s="42"/>
      <c r="J374" s="42"/>
      <c r="K374" s="42"/>
      <c r="L374" s="42"/>
      <c r="M374" s="44"/>
      <c r="N374" s="45" t="str">
        <f>IFERROR(Miesiac_169[[#This Row],[Stawka]]/(Miesiac_169[[#This Row],[Trasa '[km']]]+Miesiac_169[[#This Row],[Podjazd '[km']]]),"-")</f>
        <v>-</v>
      </c>
      <c r="O374" s="42"/>
      <c r="Q374" s="51" t="s">
        <v>35</v>
      </c>
      <c r="R374" s="55"/>
      <c r="S374" s="52"/>
    </row>
    <row r="375" spans="8:19" s="27" customFormat="1" ht="15.75" x14ac:dyDescent="0.25">
      <c r="H375" s="43">
        <f t="shared" si="18"/>
        <v>45218</v>
      </c>
      <c r="I375" s="42"/>
      <c r="J375" s="42"/>
      <c r="K375" s="42"/>
      <c r="L375" s="42"/>
      <c r="M375" s="44"/>
      <c r="N375" s="45" t="str">
        <f>IFERROR(Miesiac_169[[#This Row],[Stawka]]/(Miesiac_169[[#This Row],[Trasa '[km']]]+Miesiac_169[[#This Row],[Podjazd '[km']]]),"-")</f>
        <v>-</v>
      </c>
      <c r="O375" s="42"/>
      <c r="Q375" s="51" t="s">
        <v>116</v>
      </c>
      <c r="R375" s="55"/>
      <c r="S375" s="52"/>
    </row>
    <row r="376" spans="8:19" s="27" customFormat="1" ht="15.75" x14ac:dyDescent="0.25">
      <c r="H376" s="43">
        <f t="shared" si="18"/>
        <v>45219</v>
      </c>
      <c r="I376" s="42"/>
      <c r="J376" s="42"/>
      <c r="K376" s="42"/>
      <c r="L376" s="42"/>
      <c r="M376" s="44"/>
      <c r="N376" s="45" t="str">
        <f>IFERROR(Miesiac_169[[#This Row],[Stawka]]/(Miesiac_169[[#This Row],[Trasa '[km']]]+Miesiac_169[[#This Row],[Podjazd '[km']]]),"-")</f>
        <v>-</v>
      </c>
      <c r="O376" s="42"/>
      <c r="Q376" s="51" t="s">
        <v>117</v>
      </c>
      <c r="R376" s="55"/>
      <c r="S376" s="52"/>
    </row>
    <row r="377" spans="8:19" s="27" customFormat="1" ht="15.75" x14ac:dyDescent="0.25">
      <c r="H377" s="43">
        <f t="shared" si="18"/>
        <v>45220</v>
      </c>
      <c r="I377" s="42"/>
      <c r="J377" s="42"/>
      <c r="K377" s="42"/>
      <c r="L377" s="42"/>
      <c r="M377" s="44"/>
      <c r="N377" s="45" t="str">
        <f>IFERROR(Miesiac_169[[#This Row],[Stawka]]/(Miesiac_169[[#This Row],[Trasa '[km']]]+Miesiac_169[[#This Row],[Podjazd '[km']]]),"-")</f>
        <v>-</v>
      </c>
      <c r="O377" s="42"/>
      <c r="Q377" s="51" t="s">
        <v>118</v>
      </c>
      <c r="R377" s="55"/>
      <c r="S377" s="52"/>
    </row>
    <row r="378" spans="8:19" s="27" customFormat="1" ht="15.75" x14ac:dyDescent="0.25">
      <c r="H378" s="43">
        <f t="shared" si="18"/>
        <v>45221</v>
      </c>
      <c r="I378" s="42"/>
      <c r="J378" s="42"/>
      <c r="K378" s="42"/>
      <c r="L378" s="42"/>
      <c r="M378" s="44"/>
      <c r="N378" s="45" t="str">
        <f>IFERROR(Miesiac_169[[#This Row],[Stawka]]/(Miesiac_169[[#This Row],[Trasa '[km']]]+Miesiac_169[[#This Row],[Podjazd '[km']]]),"-")</f>
        <v>-</v>
      </c>
      <c r="O378" s="42"/>
      <c r="Q378" s="51" t="s">
        <v>119</v>
      </c>
      <c r="R378" s="55"/>
      <c r="S378" s="52"/>
    </row>
    <row r="379" spans="8:19" s="27" customFormat="1" ht="15.75" x14ac:dyDescent="0.25">
      <c r="H379" s="43">
        <f t="shared" si="18"/>
        <v>45222</v>
      </c>
      <c r="I379" s="42"/>
      <c r="J379" s="42"/>
      <c r="K379" s="42"/>
      <c r="L379" s="42"/>
      <c r="M379" s="44"/>
      <c r="N379" s="45" t="str">
        <f>IFERROR(Miesiac_169[[#This Row],[Stawka]]/(Miesiac_169[[#This Row],[Trasa '[km']]]+Miesiac_169[[#This Row],[Podjazd '[km']]]),"-")</f>
        <v>-</v>
      </c>
      <c r="O379" s="42"/>
      <c r="Q379" s="51" t="s">
        <v>120</v>
      </c>
      <c r="R379" s="55"/>
      <c r="S379" s="52"/>
    </row>
    <row r="380" spans="8:19" s="27" customFormat="1" ht="15.75" x14ac:dyDescent="0.25">
      <c r="H380" s="43">
        <f t="shared" si="18"/>
        <v>45223</v>
      </c>
      <c r="I380" s="42"/>
      <c r="J380" s="42"/>
      <c r="K380" s="42"/>
      <c r="L380" s="42"/>
      <c r="M380" s="44"/>
      <c r="N380" s="45" t="str">
        <f>IFERROR(Miesiac_169[[#This Row],[Stawka]]/(Miesiac_169[[#This Row],[Trasa '[km']]]+Miesiac_169[[#This Row],[Podjazd '[km']]]),"-")</f>
        <v>-</v>
      </c>
      <c r="O380" s="42"/>
      <c r="Q380" s="51" t="s">
        <v>121</v>
      </c>
      <c r="R380" s="55"/>
      <c r="S380" s="52"/>
    </row>
    <row r="381" spans="8:19" s="27" customFormat="1" ht="15.75" x14ac:dyDescent="0.25">
      <c r="H381" s="43">
        <f t="shared" si="18"/>
        <v>45224</v>
      </c>
      <c r="I381" s="42"/>
      <c r="J381" s="42"/>
      <c r="K381" s="42"/>
      <c r="L381" s="42"/>
      <c r="M381" s="44"/>
      <c r="N381" s="45" t="str">
        <f>IFERROR(Miesiac_169[[#This Row],[Stawka]]/(Miesiac_169[[#This Row],[Trasa '[km']]]+Miesiac_169[[#This Row],[Podjazd '[km']]]),"-")</f>
        <v>-</v>
      </c>
      <c r="O381" s="42"/>
      <c r="Q381" s="51" t="s">
        <v>122</v>
      </c>
      <c r="R381" s="55"/>
      <c r="S381" s="52"/>
    </row>
    <row r="382" spans="8:19" s="27" customFormat="1" ht="18.75" x14ac:dyDescent="0.3">
      <c r="H382" s="43">
        <f t="shared" si="18"/>
        <v>45225</v>
      </c>
      <c r="I382" s="42"/>
      <c r="J382" s="42"/>
      <c r="K382" s="42"/>
      <c r="L382" s="42"/>
      <c r="M382" s="44"/>
      <c r="N382" s="45" t="str">
        <f>IFERROR(Miesiac_169[[#This Row],[Stawka]]/(Miesiac_169[[#This Row],[Trasa '[km']]]+Miesiac_169[[#This Row],[Podjazd '[km']]]),"-")</f>
        <v>-</v>
      </c>
      <c r="O382" s="42"/>
      <c r="Q382" s="28" t="s">
        <v>36</v>
      </c>
      <c r="R382" s="29">
        <f>SUBTOTAL(109,Koszty_10[Kwota PLN '[netto']])</f>
        <v>0</v>
      </c>
      <c r="S382" s="30">
        <f>SUBTOTAL(109,Koszty_10[Kwota € '[netto']])</f>
        <v>0</v>
      </c>
    </row>
    <row r="383" spans="8:19" s="27" customFormat="1" ht="15.75" x14ac:dyDescent="0.25">
      <c r="H383" s="43">
        <f t="shared" si="18"/>
        <v>45226</v>
      </c>
      <c r="I383" s="42"/>
      <c r="J383" s="42"/>
      <c r="K383" s="42"/>
      <c r="L383" s="42"/>
      <c r="M383" s="44"/>
      <c r="N383" s="45" t="str">
        <f>IFERROR(Miesiac_169[[#This Row],[Stawka]]/(Miesiac_169[[#This Row],[Trasa '[km']]]+Miesiac_169[[#This Row],[Podjazd '[km']]]),"-")</f>
        <v>-</v>
      </c>
      <c r="O383" s="42"/>
      <c r="Q383" s="1"/>
      <c r="R383" s="1"/>
      <c r="S383" s="1"/>
    </row>
    <row r="384" spans="8:19" s="27" customFormat="1" ht="15.75" x14ac:dyDescent="0.25">
      <c r="H384" s="50">
        <f>IF(H383&lt;&gt;"-",IF(MONTH(H383)=MONTH(H383+1),H383+1,"-"),"-")</f>
        <v>45227</v>
      </c>
      <c r="I384" s="42"/>
      <c r="J384" s="42"/>
      <c r="K384" s="42"/>
      <c r="L384" s="42"/>
      <c r="M384" s="44"/>
      <c r="N384" s="45" t="str">
        <f>IFERROR(Miesiac_169[[#This Row],[Stawka]]/(Miesiac_169[[#This Row],[Trasa '[km']]]+Miesiac_169[[#This Row],[Podjazd '[km']]]),"-")</f>
        <v>-</v>
      </c>
      <c r="O384" s="42"/>
      <c r="Q384" s="1"/>
      <c r="R384" s="1"/>
      <c r="S384" s="1"/>
    </row>
    <row r="385" spans="8:19" s="27" customFormat="1" ht="15.75" x14ac:dyDescent="0.25">
      <c r="H385" s="50">
        <f t="shared" ref="H385:H387" si="19">IF(H384&lt;&gt;"-",IF(MONTH(H384)=MONTH(H384+1),H384+1,"-"),"-")</f>
        <v>45228</v>
      </c>
      <c r="I385" s="42"/>
      <c r="J385" s="42"/>
      <c r="K385" s="42"/>
      <c r="L385" s="42"/>
      <c r="M385" s="44"/>
      <c r="N385" s="45" t="str">
        <f>IFERROR(Miesiac_169[[#This Row],[Stawka]]/(Miesiac_169[[#This Row],[Trasa '[km']]]+Miesiac_169[[#This Row],[Podjazd '[km']]]),"-")</f>
        <v>-</v>
      </c>
      <c r="O385" s="42"/>
      <c r="Q385" s="1"/>
      <c r="R385" s="1"/>
      <c r="S385" s="1"/>
    </row>
    <row r="386" spans="8:19" s="27" customFormat="1" ht="15.75" x14ac:dyDescent="0.25">
      <c r="H386" s="50">
        <f t="shared" si="19"/>
        <v>45229</v>
      </c>
      <c r="I386" s="42"/>
      <c r="J386" s="42"/>
      <c r="K386" s="42"/>
      <c r="L386" s="42"/>
      <c r="M386" s="44"/>
      <c r="N386" s="45" t="str">
        <f>IFERROR(Miesiac_169[[#This Row],[Stawka]]/(Miesiac_169[[#This Row],[Trasa '[km']]]+Miesiac_169[[#This Row],[Podjazd '[km']]]),"-")</f>
        <v>-</v>
      </c>
      <c r="O386" s="42"/>
      <c r="Q386" s="1"/>
      <c r="R386" s="1"/>
      <c r="S386" s="1"/>
    </row>
    <row r="387" spans="8:19" s="27" customFormat="1" ht="15.75" x14ac:dyDescent="0.25">
      <c r="H387" s="50">
        <f t="shared" si="19"/>
        <v>45230</v>
      </c>
      <c r="I387" s="51"/>
      <c r="J387" s="51"/>
      <c r="K387" s="51"/>
      <c r="L387" s="51"/>
      <c r="M387" s="52"/>
      <c r="N387" s="53" t="str">
        <f>IFERROR(Miesiac_169[[#This Row],[Stawka]]/(Miesiac_169[[#This Row],[Trasa '[km']]]+Miesiac_169[[#This Row],[Podjazd '[km']]]),"-")</f>
        <v>-</v>
      </c>
      <c r="O387" s="51"/>
      <c r="Q387" s="31" t="s">
        <v>89</v>
      </c>
      <c r="R387" s="32"/>
      <c r="S387" s="33" t="s">
        <v>90</v>
      </c>
    </row>
    <row r="388" spans="8:19" ht="15.75" x14ac:dyDescent="0.25">
      <c r="Q388" s="31" t="s">
        <v>91</v>
      </c>
      <c r="R388" s="33"/>
      <c r="S388" s="33" t="s">
        <v>90</v>
      </c>
    </row>
    <row r="389" spans="8:19" ht="19.5" thickBot="1" x14ac:dyDescent="0.35">
      <c r="J389" s="80" t="s">
        <v>55</v>
      </c>
      <c r="K389" s="80">
        <f>SUM(Miesiac_169[Podjazd '[km']])</f>
        <v>0</v>
      </c>
      <c r="L389" s="80">
        <f>SUM(Miesiac_169[Trasa '[km']])</f>
        <v>0</v>
      </c>
      <c r="M389" s="81">
        <f>SUM(Miesiac_169[Stawka])</f>
        <v>0</v>
      </c>
      <c r="N389" s="82" t="str">
        <f>IFERROR(M389/(L389+K389),"-")</f>
        <v>-</v>
      </c>
      <c r="Q389" s="84" t="s">
        <v>92</v>
      </c>
      <c r="R389" s="85">
        <f>R388-R387</f>
        <v>0</v>
      </c>
      <c r="S389" s="85" t="s">
        <v>90</v>
      </c>
    </row>
    <row r="390" spans="8:19" ht="21.75" thickBot="1" x14ac:dyDescent="0.4">
      <c r="J390" s="80" t="s">
        <v>56</v>
      </c>
      <c r="K390" s="83"/>
      <c r="L390" s="149">
        <f>M389/B15</f>
        <v>0</v>
      </c>
      <c r="M390" s="149"/>
      <c r="N390" s="149"/>
      <c r="Q390" s="88" t="s">
        <v>110</v>
      </c>
      <c r="R390" s="89" t="str">
        <f>IFERROR(M389/R389,"-")</f>
        <v>-</v>
      </c>
      <c r="S390" s="90"/>
    </row>
    <row r="391" spans="8:19" x14ac:dyDescent="0.25"/>
    <row r="392" spans="8:19" ht="15.75" thickBot="1" x14ac:dyDescent="0.3"/>
    <row r="393" spans="8:19" ht="24" thickBot="1" x14ac:dyDescent="0.4">
      <c r="H393" s="150" t="s">
        <v>16</v>
      </c>
      <c r="I393" s="151"/>
      <c r="J393" s="87">
        <v>2023</v>
      </c>
    </row>
    <row r="394" spans="8:19" x14ac:dyDescent="0.25">
      <c r="H394" s="7">
        <f>MATCH(H393,{"styczeń";"luty";"marzec";"kwiecień";"maj";"czerwiec";"lipiec";"sierpień";"wrzesień";"październik";"listopad";"grudzień"},0)</f>
        <v>11</v>
      </c>
    </row>
    <row r="395" spans="8:19" ht="35.1" customHeight="1" x14ac:dyDescent="0.25">
      <c r="H395" s="77" t="s">
        <v>0</v>
      </c>
      <c r="I395" s="77" t="s">
        <v>1</v>
      </c>
      <c r="J395" s="77" t="s">
        <v>2</v>
      </c>
      <c r="K395" s="77" t="s">
        <v>4</v>
      </c>
      <c r="L395" s="77" t="s">
        <v>3</v>
      </c>
      <c r="M395" s="77" t="s">
        <v>114</v>
      </c>
      <c r="N395" s="77" t="s">
        <v>115</v>
      </c>
      <c r="O395" s="78" t="s">
        <v>19</v>
      </c>
      <c r="Q395" s="77" t="s">
        <v>93</v>
      </c>
      <c r="R395" s="77" t="s">
        <v>49</v>
      </c>
      <c r="S395" s="77" t="s">
        <v>48</v>
      </c>
    </row>
    <row r="396" spans="8:19" s="27" customFormat="1" ht="15.75" x14ac:dyDescent="0.25">
      <c r="H396" s="38">
        <f>DATE(J393,H394,1)</f>
        <v>45231</v>
      </c>
      <c r="I396" s="39"/>
      <c r="J396" s="39"/>
      <c r="K396" s="39"/>
      <c r="L396" s="39"/>
      <c r="M396" s="40"/>
      <c r="N396" s="41" t="str">
        <f>IFERROR(Miesiac_171[[#This Row],[Stawka]]/(Miesiac_171[[#This Row],[Trasa '[km']]]+Miesiac_171[[#This Row],[Podjazd '[km']]]),"-")</f>
        <v>-</v>
      </c>
      <c r="O396" s="42"/>
      <c r="Q396" s="51" t="s">
        <v>53</v>
      </c>
      <c r="R396" s="55"/>
      <c r="S396" s="52"/>
    </row>
    <row r="397" spans="8:19" s="27" customFormat="1" ht="15.75" x14ac:dyDescent="0.25">
      <c r="H397" s="43">
        <f>H396+1</f>
        <v>45232</v>
      </c>
      <c r="I397" s="42"/>
      <c r="J397" s="42"/>
      <c r="K397" s="42"/>
      <c r="L397" s="42"/>
      <c r="M397" s="44"/>
      <c r="N397" s="45" t="str">
        <f>IFERROR(Miesiac_171[[#This Row],[Stawka]]/(Miesiac_171[[#This Row],[Trasa '[km']]]+Miesiac_171[[#This Row],[Podjazd '[km']]]),"-")</f>
        <v>-</v>
      </c>
      <c r="O397" s="46"/>
      <c r="Q397" s="51" t="s">
        <v>54</v>
      </c>
      <c r="R397" s="55"/>
      <c r="S397" s="52"/>
    </row>
    <row r="398" spans="8:19" s="27" customFormat="1" ht="15.75" x14ac:dyDescent="0.25">
      <c r="H398" s="43">
        <f t="shared" ref="H398:H422" si="20">H397+1</f>
        <v>45233</v>
      </c>
      <c r="I398" s="42"/>
      <c r="J398" s="42"/>
      <c r="K398" s="42"/>
      <c r="L398" s="42"/>
      <c r="M398" s="44"/>
      <c r="N398" s="45" t="str">
        <f>IFERROR(Miesiac_171[[#This Row],[Stawka]]/(Miesiac_171[[#This Row],[Trasa '[km']]]+Miesiac_171[[#This Row],[Podjazd '[km']]]),"-")</f>
        <v>-</v>
      </c>
      <c r="O398" s="42"/>
      <c r="Q398" s="51" t="s">
        <v>37</v>
      </c>
      <c r="R398" s="55"/>
      <c r="S398" s="52"/>
    </row>
    <row r="399" spans="8:19" s="27" customFormat="1" ht="15.75" x14ac:dyDescent="0.25">
      <c r="H399" s="43">
        <f t="shared" si="20"/>
        <v>45234</v>
      </c>
      <c r="I399" s="42"/>
      <c r="J399" s="42"/>
      <c r="K399" s="42"/>
      <c r="L399" s="42"/>
      <c r="M399" s="44"/>
      <c r="N399" s="45" t="str">
        <f>IFERROR(Miesiac_171[[#This Row],[Stawka]]/(Miesiac_171[[#This Row],[Trasa '[km']]]+Miesiac_171[[#This Row],[Podjazd '[km']]]),"-")</f>
        <v>-</v>
      </c>
      <c r="O399" s="39"/>
      <c r="Q399" s="51" t="s">
        <v>43</v>
      </c>
      <c r="R399" s="55"/>
      <c r="S399" s="52"/>
    </row>
    <row r="400" spans="8:19" s="27" customFormat="1" ht="15.75" x14ac:dyDescent="0.25">
      <c r="H400" s="43">
        <f t="shared" si="20"/>
        <v>45235</v>
      </c>
      <c r="I400" s="42"/>
      <c r="J400" s="42"/>
      <c r="K400" s="42"/>
      <c r="L400" s="42"/>
      <c r="M400" s="44"/>
      <c r="N400" s="45" t="str">
        <f>IFERROR(Miesiac_171[[#This Row],[Stawka]]/(Miesiac_171[[#This Row],[Trasa '[km']]]+Miesiac_171[[#This Row],[Podjazd '[km']]]),"-")</f>
        <v>-</v>
      </c>
      <c r="O400" s="39"/>
      <c r="Q400" s="51" t="s">
        <v>57</v>
      </c>
      <c r="R400" s="55"/>
      <c r="S400" s="52"/>
    </row>
    <row r="401" spans="8:19" s="27" customFormat="1" ht="15.75" x14ac:dyDescent="0.25">
      <c r="H401" s="43">
        <f t="shared" si="20"/>
        <v>45236</v>
      </c>
      <c r="I401" s="42"/>
      <c r="J401" s="42"/>
      <c r="K401" s="42"/>
      <c r="L401" s="42"/>
      <c r="M401" s="44"/>
      <c r="N401" s="45" t="str">
        <f>IFERROR(Miesiac_171[[#This Row],[Stawka]]/(Miesiac_171[[#This Row],[Trasa '[km']]]+Miesiac_171[[#This Row],[Podjazd '[km']]]),"-")</f>
        <v>-</v>
      </c>
      <c r="O401" s="42"/>
      <c r="Q401" s="51" t="s">
        <v>58</v>
      </c>
      <c r="R401" s="55"/>
      <c r="S401" s="52"/>
    </row>
    <row r="402" spans="8:19" s="27" customFormat="1" ht="15.75" x14ac:dyDescent="0.25">
      <c r="H402" s="43">
        <f t="shared" si="20"/>
        <v>45237</v>
      </c>
      <c r="I402" s="42"/>
      <c r="J402" s="42"/>
      <c r="K402" s="42"/>
      <c r="L402" s="42"/>
      <c r="M402" s="44"/>
      <c r="N402" s="45" t="str">
        <f>IFERROR(Miesiac_171[[#This Row],[Stawka]]/(Miesiac_171[[#This Row],[Trasa '[km']]]+Miesiac_171[[#This Row],[Podjazd '[km']]]),"-")</f>
        <v>-</v>
      </c>
      <c r="O402" s="42"/>
      <c r="Q402" s="51" t="s">
        <v>51</v>
      </c>
      <c r="R402" s="55"/>
      <c r="S402" s="52"/>
    </row>
    <row r="403" spans="8:19" s="27" customFormat="1" ht="15.75" x14ac:dyDescent="0.25">
      <c r="H403" s="43">
        <f t="shared" si="20"/>
        <v>45238</v>
      </c>
      <c r="I403" s="42"/>
      <c r="J403" s="42"/>
      <c r="K403" s="42"/>
      <c r="L403" s="42"/>
      <c r="M403" s="44"/>
      <c r="N403" s="45" t="str">
        <f>IFERROR(Miesiac_171[[#This Row],[Stawka]]/(Miesiac_171[[#This Row],[Trasa '[km']]]+Miesiac_171[[#This Row],[Podjazd '[km']]]),"-")</f>
        <v>-</v>
      </c>
      <c r="O403" s="42"/>
      <c r="Q403" s="51" t="s">
        <v>95</v>
      </c>
      <c r="R403" s="55"/>
      <c r="S403" s="52"/>
    </row>
    <row r="404" spans="8:19" s="27" customFormat="1" ht="15.75" x14ac:dyDescent="0.25">
      <c r="H404" s="43">
        <f t="shared" si="20"/>
        <v>45239</v>
      </c>
      <c r="I404" s="42"/>
      <c r="J404" s="42"/>
      <c r="K404" s="42"/>
      <c r="L404" s="42"/>
      <c r="M404" s="44"/>
      <c r="N404" s="45" t="str">
        <f>IFERROR(Miesiac_171[[#This Row],[Stawka]]/(Miesiac_171[[#This Row],[Trasa '[km']]]+Miesiac_171[[#This Row],[Podjazd '[km']]]),"-")</f>
        <v>-</v>
      </c>
      <c r="O404" s="42"/>
      <c r="Q404" s="51" t="s">
        <v>50</v>
      </c>
      <c r="R404" s="55"/>
      <c r="S404" s="52"/>
    </row>
    <row r="405" spans="8:19" s="27" customFormat="1" ht="15.75" x14ac:dyDescent="0.25">
      <c r="H405" s="43">
        <f t="shared" si="20"/>
        <v>45240</v>
      </c>
      <c r="I405" s="42"/>
      <c r="J405" s="42"/>
      <c r="K405" s="42"/>
      <c r="L405" s="42"/>
      <c r="M405" s="44"/>
      <c r="N405" s="45" t="str">
        <f>IFERROR(Miesiac_171[[#This Row],[Stawka]]/(Miesiac_171[[#This Row],[Trasa '[km']]]+Miesiac_171[[#This Row],[Podjazd '[km']]]),"-")</f>
        <v>-</v>
      </c>
      <c r="O405" s="42"/>
      <c r="Q405" s="51" t="s">
        <v>52</v>
      </c>
      <c r="R405" s="55"/>
      <c r="S405" s="52"/>
    </row>
    <row r="406" spans="8:19" s="27" customFormat="1" ht="15.75" x14ac:dyDescent="0.25">
      <c r="H406" s="43">
        <f t="shared" si="20"/>
        <v>45241</v>
      </c>
      <c r="I406" s="42"/>
      <c r="J406" s="42"/>
      <c r="K406" s="42"/>
      <c r="L406" s="42"/>
      <c r="M406" s="44"/>
      <c r="N406" s="45" t="str">
        <f>IFERROR(Miesiac_171[[#This Row],[Stawka]]/(Miesiac_171[[#This Row],[Trasa '[km']]]+Miesiac_171[[#This Row],[Podjazd '[km']]]),"-")</f>
        <v>-</v>
      </c>
      <c r="O406" s="42"/>
      <c r="Q406" s="51" t="s">
        <v>94</v>
      </c>
      <c r="R406" s="55"/>
      <c r="S406" s="52"/>
    </row>
    <row r="407" spans="8:19" s="27" customFormat="1" ht="15.75" x14ac:dyDescent="0.25">
      <c r="H407" s="43">
        <f t="shared" si="20"/>
        <v>45242</v>
      </c>
      <c r="I407" s="42"/>
      <c r="J407" s="42"/>
      <c r="K407" s="42"/>
      <c r="L407" s="42"/>
      <c r="M407" s="44"/>
      <c r="N407" s="45" t="str">
        <f>IFERROR(Miesiac_171[[#This Row],[Stawka]]/(Miesiac_171[[#This Row],[Trasa '[km']]]+Miesiac_171[[#This Row],[Podjazd '[km']]]),"-")</f>
        <v>-</v>
      </c>
      <c r="O407" s="42"/>
      <c r="Q407" s="51" t="s">
        <v>96</v>
      </c>
      <c r="R407" s="55"/>
      <c r="S407" s="52"/>
    </row>
    <row r="408" spans="8:19" s="27" customFormat="1" ht="15.75" x14ac:dyDescent="0.25">
      <c r="H408" s="43">
        <f t="shared" si="20"/>
        <v>45243</v>
      </c>
      <c r="I408" s="42"/>
      <c r="J408" s="42"/>
      <c r="K408" s="42"/>
      <c r="L408" s="42"/>
      <c r="M408" s="44"/>
      <c r="N408" s="45" t="str">
        <f>IFERROR(Miesiac_171[[#This Row],[Stawka]]/(Miesiac_171[[#This Row],[Trasa '[km']]]+Miesiac_171[[#This Row],[Podjazd '[km']]]),"-")</f>
        <v>-</v>
      </c>
      <c r="O408" s="42"/>
      <c r="Q408" s="51" t="s">
        <v>97</v>
      </c>
      <c r="R408" s="55"/>
      <c r="S408" s="52"/>
    </row>
    <row r="409" spans="8:19" s="27" customFormat="1" ht="15.75" x14ac:dyDescent="0.25">
      <c r="H409" s="43">
        <f t="shared" si="20"/>
        <v>45244</v>
      </c>
      <c r="I409" s="42"/>
      <c r="J409" s="42"/>
      <c r="K409" s="42"/>
      <c r="L409" s="42"/>
      <c r="M409" s="44"/>
      <c r="N409" s="45" t="str">
        <f>IFERROR(Miesiac_171[[#This Row],[Stawka]]/(Miesiac_171[[#This Row],[Trasa '[km']]]+Miesiac_171[[#This Row],[Podjazd '[km']]]),"-")</f>
        <v>-</v>
      </c>
      <c r="O409" s="42"/>
      <c r="Q409" s="51" t="s">
        <v>98</v>
      </c>
      <c r="R409" s="55"/>
      <c r="S409" s="52"/>
    </row>
    <row r="410" spans="8:19" s="27" customFormat="1" ht="15.75" x14ac:dyDescent="0.25">
      <c r="H410" s="43">
        <f t="shared" si="20"/>
        <v>45245</v>
      </c>
      <c r="I410" s="42"/>
      <c r="J410" s="42"/>
      <c r="K410" s="42"/>
      <c r="L410" s="42"/>
      <c r="M410" s="44"/>
      <c r="N410" s="45" t="str">
        <f>IFERROR(Miesiac_171[[#This Row],[Stawka]]/(Miesiac_171[[#This Row],[Trasa '[km']]]+Miesiac_171[[#This Row],[Podjazd '[km']]]),"-")</f>
        <v>-</v>
      </c>
      <c r="O410" s="42"/>
      <c r="Q410" s="51" t="s">
        <v>32</v>
      </c>
      <c r="R410" s="55"/>
      <c r="S410" s="52"/>
    </row>
    <row r="411" spans="8:19" s="27" customFormat="1" ht="15.75" x14ac:dyDescent="0.25">
      <c r="H411" s="43">
        <f t="shared" si="20"/>
        <v>45246</v>
      </c>
      <c r="I411" s="42"/>
      <c r="J411" s="42"/>
      <c r="K411" s="42"/>
      <c r="L411" s="42"/>
      <c r="M411" s="44"/>
      <c r="N411" s="45" t="str">
        <f>IFERROR(Miesiac_171[[#This Row],[Stawka]]/(Miesiac_171[[#This Row],[Trasa '[km']]]+Miesiac_171[[#This Row],[Podjazd '[km']]]),"-")</f>
        <v>-</v>
      </c>
      <c r="O411" s="42"/>
      <c r="Q411" s="51" t="s">
        <v>33</v>
      </c>
      <c r="R411" s="55"/>
      <c r="S411" s="52"/>
    </row>
    <row r="412" spans="8:19" s="27" customFormat="1" ht="15.75" x14ac:dyDescent="0.25">
      <c r="H412" s="43">
        <f t="shared" si="20"/>
        <v>45247</v>
      </c>
      <c r="I412" s="42"/>
      <c r="J412" s="42"/>
      <c r="K412" s="42"/>
      <c r="L412" s="42"/>
      <c r="M412" s="44"/>
      <c r="N412" s="45" t="str">
        <f>IFERROR(Miesiac_171[[#This Row],[Stawka]]/(Miesiac_171[[#This Row],[Trasa '[km']]]+Miesiac_171[[#This Row],[Podjazd '[km']]]),"-")</f>
        <v>-</v>
      </c>
      <c r="O412" s="42"/>
      <c r="Q412" s="51" t="s">
        <v>34</v>
      </c>
      <c r="R412" s="55"/>
      <c r="S412" s="52"/>
    </row>
    <row r="413" spans="8:19" s="27" customFormat="1" ht="15.75" x14ac:dyDescent="0.25">
      <c r="H413" s="43">
        <f t="shared" si="20"/>
        <v>45248</v>
      </c>
      <c r="I413" s="42"/>
      <c r="J413" s="42"/>
      <c r="K413" s="42"/>
      <c r="L413" s="42"/>
      <c r="M413" s="44"/>
      <c r="N413" s="45" t="str">
        <f>IFERROR(Miesiac_171[[#This Row],[Stawka]]/(Miesiac_171[[#This Row],[Trasa '[km']]]+Miesiac_171[[#This Row],[Podjazd '[km']]]),"-")</f>
        <v>-</v>
      </c>
      <c r="O413" s="42"/>
      <c r="Q413" s="51" t="s">
        <v>35</v>
      </c>
      <c r="R413" s="55"/>
      <c r="S413" s="52"/>
    </row>
    <row r="414" spans="8:19" s="27" customFormat="1" ht="15.75" x14ac:dyDescent="0.25">
      <c r="H414" s="43">
        <f t="shared" si="20"/>
        <v>45249</v>
      </c>
      <c r="I414" s="42"/>
      <c r="J414" s="42"/>
      <c r="K414" s="42"/>
      <c r="L414" s="42"/>
      <c r="M414" s="44"/>
      <c r="N414" s="45" t="str">
        <f>IFERROR(Miesiac_171[[#This Row],[Stawka]]/(Miesiac_171[[#This Row],[Trasa '[km']]]+Miesiac_171[[#This Row],[Podjazd '[km']]]),"-")</f>
        <v>-</v>
      </c>
      <c r="O414" s="42"/>
      <c r="Q414" s="51" t="s">
        <v>116</v>
      </c>
      <c r="R414" s="55"/>
      <c r="S414" s="52"/>
    </row>
    <row r="415" spans="8:19" s="27" customFormat="1" ht="15.75" x14ac:dyDescent="0.25">
      <c r="H415" s="43">
        <f t="shared" si="20"/>
        <v>45250</v>
      </c>
      <c r="I415" s="42"/>
      <c r="J415" s="42"/>
      <c r="K415" s="42"/>
      <c r="L415" s="42"/>
      <c r="M415" s="44"/>
      <c r="N415" s="45" t="str">
        <f>IFERROR(Miesiac_171[[#This Row],[Stawka]]/(Miesiac_171[[#This Row],[Trasa '[km']]]+Miesiac_171[[#This Row],[Podjazd '[km']]]),"-")</f>
        <v>-</v>
      </c>
      <c r="O415" s="42"/>
      <c r="Q415" s="51" t="s">
        <v>117</v>
      </c>
      <c r="R415" s="55"/>
      <c r="S415" s="52"/>
    </row>
    <row r="416" spans="8:19" s="27" customFormat="1" ht="15.75" x14ac:dyDescent="0.25">
      <c r="H416" s="43">
        <f t="shared" si="20"/>
        <v>45251</v>
      </c>
      <c r="I416" s="42"/>
      <c r="J416" s="42"/>
      <c r="K416" s="42"/>
      <c r="L416" s="42"/>
      <c r="M416" s="44"/>
      <c r="N416" s="45" t="str">
        <f>IFERROR(Miesiac_171[[#This Row],[Stawka]]/(Miesiac_171[[#This Row],[Trasa '[km']]]+Miesiac_171[[#This Row],[Podjazd '[km']]]),"-")</f>
        <v>-</v>
      </c>
      <c r="O416" s="42"/>
      <c r="Q416" s="51" t="s">
        <v>118</v>
      </c>
      <c r="R416" s="55"/>
      <c r="S416" s="52"/>
    </row>
    <row r="417" spans="8:19" s="27" customFormat="1" ht="15.75" x14ac:dyDescent="0.25">
      <c r="H417" s="43">
        <f t="shared" si="20"/>
        <v>45252</v>
      </c>
      <c r="I417" s="42"/>
      <c r="J417" s="42"/>
      <c r="K417" s="42"/>
      <c r="L417" s="42"/>
      <c r="M417" s="44"/>
      <c r="N417" s="45" t="str">
        <f>IFERROR(Miesiac_171[[#This Row],[Stawka]]/(Miesiac_171[[#This Row],[Trasa '[km']]]+Miesiac_171[[#This Row],[Podjazd '[km']]]),"-")</f>
        <v>-</v>
      </c>
      <c r="O417" s="42"/>
      <c r="Q417" s="51" t="s">
        <v>119</v>
      </c>
      <c r="R417" s="55"/>
      <c r="S417" s="52"/>
    </row>
    <row r="418" spans="8:19" s="27" customFormat="1" ht="15.75" x14ac:dyDescent="0.25">
      <c r="H418" s="43">
        <f t="shared" si="20"/>
        <v>45253</v>
      </c>
      <c r="I418" s="42"/>
      <c r="J418" s="42"/>
      <c r="K418" s="42"/>
      <c r="L418" s="42"/>
      <c r="M418" s="44"/>
      <c r="N418" s="45" t="str">
        <f>IFERROR(Miesiac_171[[#This Row],[Stawka]]/(Miesiac_171[[#This Row],[Trasa '[km']]]+Miesiac_171[[#This Row],[Podjazd '[km']]]),"-")</f>
        <v>-</v>
      </c>
      <c r="O418" s="42"/>
      <c r="Q418" s="51" t="s">
        <v>120</v>
      </c>
      <c r="R418" s="55"/>
      <c r="S418" s="52"/>
    </row>
    <row r="419" spans="8:19" s="27" customFormat="1" ht="15.75" x14ac:dyDescent="0.25">
      <c r="H419" s="43">
        <f t="shared" si="20"/>
        <v>45254</v>
      </c>
      <c r="I419" s="42"/>
      <c r="J419" s="42"/>
      <c r="K419" s="42"/>
      <c r="L419" s="42"/>
      <c r="M419" s="44"/>
      <c r="N419" s="45" t="str">
        <f>IFERROR(Miesiac_171[[#This Row],[Stawka]]/(Miesiac_171[[#This Row],[Trasa '[km']]]+Miesiac_171[[#This Row],[Podjazd '[km']]]),"-")</f>
        <v>-</v>
      </c>
      <c r="O419" s="42"/>
      <c r="Q419" s="51" t="s">
        <v>121</v>
      </c>
      <c r="R419" s="55"/>
      <c r="S419" s="52"/>
    </row>
    <row r="420" spans="8:19" s="27" customFormat="1" ht="15.75" x14ac:dyDescent="0.25">
      <c r="H420" s="43">
        <f t="shared" si="20"/>
        <v>45255</v>
      </c>
      <c r="I420" s="42"/>
      <c r="J420" s="42"/>
      <c r="K420" s="42"/>
      <c r="L420" s="42"/>
      <c r="M420" s="44"/>
      <c r="N420" s="45" t="str">
        <f>IFERROR(Miesiac_171[[#This Row],[Stawka]]/(Miesiac_171[[#This Row],[Trasa '[km']]]+Miesiac_171[[#This Row],[Podjazd '[km']]]),"-")</f>
        <v>-</v>
      </c>
      <c r="O420" s="42"/>
      <c r="Q420" s="51" t="s">
        <v>122</v>
      </c>
      <c r="R420" s="55"/>
      <c r="S420" s="52"/>
    </row>
    <row r="421" spans="8:19" s="27" customFormat="1" ht="18.75" x14ac:dyDescent="0.3">
      <c r="H421" s="43">
        <f t="shared" si="20"/>
        <v>45256</v>
      </c>
      <c r="I421" s="42"/>
      <c r="J421" s="42"/>
      <c r="K421" s="42"/>
      <c r="L421" s="42"/>
      <c r="M421" s="44"/>
      <c r="N421" s="45" t="str">
        <f>IFERROR(Miesiac_171[[#This Row],[Stawka]]/(Miesiac_171[[#This Row],[Trasa '[km']]]+Miesiac_171[[#This Row],[Podjazd '[km']]]),"-")</f>
        <v>-</v>
      </c>
      <c r="O421" s="42"/>
      <c r="Q421" s="28" t="s">
        <v>36</v>
      </c>
      <c r="R421" s="29">
        <f>SUBTOTAL(109,Koszty_11[Kwota PLN '[netto']])</f>
        <v>0</v>
      </c>
      <c r="S421" s="30">
        <f>SUBTOTAL(109,Koszty_11[Kwota € '[netto']])</f>
        <v>0</v>
      </c>
    </row>
    <row r="422" spans="8:19" s="27" customFormat="1" ht="15.75" x14ac:dyDescent="0.25">
      <c r="H422" s="43">
        <f t="shared" si="20"/>
        <v>45257</v>
      </c>
      <c r="I422" s="42"/>
      <c r="J422" s="42"/>
      <c r="K422" s="42"/>
      <c r="L422" s="42"/>
      <c r="M422" s="44"/>
      <c r="N422" s="45" t="str">
        <f>IFERROR(Miesiac_171[[#This Row],[Stawka]]/(Miesiac_171[[#This Row],[Trasa '[km']]]+Miesiac_171[[#This Row],[Podjazd '[km']]]),"-")</f>
        <v>-</v>
      </c>
      <c r="O422" s="42"/>
      <c r="Q422" s="1"/>
      <c r="R422" s="1"/>
      <c r="S422" s="1"/>
    </row>
    <row r="423" spans="8:19" s="27" customFormat="1" ht="15.75" x14ac:dyDescent="0.25">
      <c r="H423" s="50">
        <f>IF(H422&lt;&gt;"-",IF(MONTH(H422)=MONTH(H422+1),H422+1,"-"),"-")</f>
        <v>45258</v>
      </c>
      <c r="I423" s="42"/>
      <c r="J423" s="42"/>
      <c r="K423" s="42"/>
      <c r="L423" s="42"/>
      <c r="M423" s="44"/>
      <c r="N423" s="45" t="str">
        <f>IFERROR(Miesiac_171[[#This Row],[Stawka]]/(Miesiac_171[[#This Row],[Trasa '[km']]]+Miesiac_171[[#This Row],[Podjazd '[km']]]),"-")</f>
        <v>-</v>
      </c>
      <c r="O423" s="42"/>
      <c r="Q423" s="1"/>
      <c r="R423" s="1"/>
      <c r="S423" s="1"/>
    </row>
    <row r="424" spans="8:19" s="27" customFormat="1" ht="15.75" x14ac:dyDescent="0.25">
      <c r="H424" s="50">
        <f t="shared" ref="H424:H426" si="21">IF(H423&lt;&gt;"-",IF(MONTH(H423)=MONTH(H423+1),H423+1,"-"),"-")</f>
        <v>45259</v>
      </c>
      <c r="I424" s="42"/>
      <c r="J424" s="42"/>
      <c r="K424" s="42"/>
      <c r="L424" s="42"/>
      <c r="M424" s="44"/>
      <c r="N424" s="45" t="str">
        <f>IFERROR(Miesiac_171[[#This Row],[Stawka]]/(Miesiac_171[[#This Row],[Trasa '[km']]]+Miesiac_171[[#This Row],[Podjazd '[km']]]),"-")</f>
        <v>-</v>
      </c>
      <c r="O424" s="42"/>
      <c r="Q424" s="1"/>
      <c r="R424" s="1"/>
      <c r="S424" s="1"/>
    </row>
    <row r="425" spans="8:19" s="27" customFormat="1" ht="15.75" x14ac:dyDescent="0.25">
      <c r="H425" s="50">
        <f t="shared" si="21"/>
        <v>45260</v>
      </c>
      <c r="I425" s="42"/>
      <c r="J425" s="42"/>
      <c r="K425" s="42"/>
      <c r="L425" s="42"/>
      <c r="M425" s="44"/>
      <c r="N425" s="45" t="str">
        <f>IFERROR(Miesiac_171[[#This Row],[Stawka]]/(Miesiac_171[[#This Row],[Trasa '[km']]]+Miesiac_171[[#This Row],[Podjazd '[km']]]),"-")</f>
        <v>-</v>
      </c>
      <c r="O425" s="42"/>
      <c r="Q425" s="1"/>
      <c r="R425" s="1"/>
      <c r="S425" s="1"/>
    </row>
    <row r="426" spans="8:19" s="27" customFormat="1" ht="15.75" x14ac:dyDescent="0.25">
      <c r="H426" s="50" t="str">
        <f t="shared" si="21"/>
        <v>-</v>
      </c>
      <c r="I426" s="51"/>
      <c r="J426" s="51"/>
      <c r="K426" s="51"/>
      <c r="L426" s="51"/>
      <c r="M426" s="52"/>
      <c r="N426" s="53" t="str">
        <f>IFERROR(Miesiac_171[[#This Row],[Stawka]]/(Miesiac_171[[#This Row],[Trasa '[km']]]+Miesiac_171[[#This Row],[Podjazd '[km']]]),"-")</f>
        <v>-</v>
      </c>
      <c r="O426" s="51"/>
      <c r="Q426" s="31" t="s">
        <v>89</v>
      </c>
      <c r="R426" s="32"/>
      <c r="S426" s="33" t="s">
        <v>90</v>
      </c>
    </row>
    <row r="427" spans="8:19" ht="15.75" x14ac:dyDescent="0.25">
      <c r="Q427" s="31" t="s">
        <v>91</v>
      </c>
      <c r="R427" s="33"/>
      <c r="S427" s="33" t="s">
        <v>90</v>
      </c>
    </row>
    <row r="428" spans="8:19" ht="19.5" thickBot="1" x14ac:dyDescent="0.35">
      <c r="J428" s="80" t="s">
        <v>55</v>
      </c>
      <c r="K428" s="80">
        <f>SUM(Miesiac_171[Podjazd '[km']])</f>
        <v>0</v>
      </c>
      <c r="L428" s="80">
        <f>SUM(Miesiac_171[Trasa '[km']])</f>
        <v>0</v>
      </c>
      <c r="M428" s="81">
        <f>SUM(Miesiac_171[Stawka])</f>
        <v>0</v>
      </c>
      <c r="N428" s="82" t="str">
        <f>IFERROR(M428/(L428+K428),"-")</f>
        <v>-</v>
      </c>
      <c r="Q428" s="84" t="s">
        <v>92</v>
      </c>
      <c r="R428" s="85">
        <f>R427-R426</f>
        <v>0</v>
      </c>
      <c r="S428" s="85" t="s">
        <v>90</v>
      </c>
    </row>
    <row r="429" spans="8:19" ht="21.75" thickBot="1" x14ac:dyDescent="0.4">
      <c r="J429" s="80" t="s">
        <v>56</v>
      </c>
      <c r="K429" s="83"/>
      <c r="L429" s="149">
        <f>M428/B16</f>
        <v>0</v>
      </c>
      <c r="M429" s="149"/>
      <c r="N429" s="149"/>
      <c r="Q429" s="88" t="s">
        <v>110</v>
      </c>
      <c r="R429" s="89" t="str">
        <f>IFERROR(M428/R428,"-")</f>
        <v>-</v>
      </c>
      <c r="S429" s="90"/>
    </row>
    <row r="430" spans="8:19" x14ac:dyDescent="0.25"/>
    <row r="431" spans="8:19" ht="15.75" thickBot="1" x14ac:dyDescent="0.3"/>
    <row r="432" spans="8:19" ht="24" thickBot="1" x14ac:dyDescent="0.4">
      <c r="H432" s="150" t="s">
        <v>17</v>
      </c>
      <c r="I432" s="151"/>
      <c r="J432" s="87">
        <v>2023</v>
      </c>
    </row>
    <row r="433" spans="8:19" x14ac:dyDescent="0.25">
      <c r="H433" s="7">
        <f>MATCH(H432,{"styczeń";"luty";"marzec";"kwiecień";"maj";"czerwiec";"lipiec";"sierpień";"wrzesień";"październik";"listopad";"grudzień"},0)</f>
        <v>12</v>
      </c>
    </row>
    <row r="434" spans="8:19" ht="35.1" customHeight="1" x14ac:dyDescent="0.25">
      <c r="H434" s="77" t="s">
        <v>0</v>
      </c>
      <c r="I434" s="77" t="s">
        <v>1</v>
      </c>
      <c r="J434" s="77" t="s">
        <v>2</v>
      </c>
      <c r="K434" s="77" t="s">
        <v>4</v>
      </c>
      <c r="L434" s="77" t="s">
        <v>3</v>
      </c>
      <c r="M434" s="77" t="s">
        <v>114</v>
      </c>
      <c r="N434" s="77" t="s">
        <v>115</v>
      </c>
      <c r="O434" s="78" t="s">
        <v>19</v>
      </c>
      <c r="Q434" s="77" t="s">
        <v>93</v>
      </c>
      <c r="R434" s="77" t="s">
        <v>49</v>
      </c>
      <c r="S434" s="77" t="s">
        <v>48</v>
      </c>
    </row>
    <row r="435" spans="8:19" s="27" customFormat="1" ht="15.75" x14ac:dyDescent="0.25">
      <c r="H435" s="38">
        <f>DATE(J432,H433,1)</f>
        <v>45261</v>
      </c>
      <c r="I435" s="39"/>
      <c r="J435" s="39"/>
      <c r="K435" s="39"/>
      <c r="L435" s="39"/>
      <c r="M435" s="40"/>
      <c r="N435" s="41" t="str">
        <f>IFERROR(Miesiac_173[[#This Row],[Stawka]]/(Miesiac_173[[#This Row],[Trasa '[km']]]+Miesiac_173[[#This Row],[Podjazd '[km']]]),"-")</f>
        <v>-</v>
      </c>
      <c r="O435" s="42"/>
      <c r="Q435" s="51" t="s">
        <v>53</v>
      </c>
      <c r="R435" s="55"/>
      <c r="S435" s="52"/>
    </row>
    <row r="436" spans="8:19" s="27" customFormat="1" ht="15.75" x14ac:dyDescent="0.25">
      <c r="H436" s="43">
        <f>H435+1</f>
        <v>45262</v>
      </c>
      <c r="I436" s="42"/>
      <c r="J436" s="42"/>
      <c r="K436" s="42"/>
      <c r="L436" s="42"/>
      <c r="M436" s="44"/>
      <c r="N436" s="45" t="str">
        <f>IFERROR(Miesiac_173[[#This Row],[Stawka]]/(Miesiac_173[[#This Row],[Trasa '[km']]]+Miesiac_173[[#This Row],[Podjazd '[km']]]),"-")</f>
        <v>-</v>
      </c>
      <c r="O436" s="46"/>
      <c r="Q436" s="51" t="s">
        <v>54</v>
      </c>
      <c r="R436" s="55"/>
      <c r="S436" s="52"/>
    </row>
    <row r="437" spans="8:19" s="27" customFormat="1" ht="15.75" x14ac:dyDescent="0.25">
      <c r="H437" s="43">
        <f t="shared" ref="H437:H461" si="22">H436+1</f>
        <v>45263</v>
      </c>
      <c r="I437" s="42"/>
      <c r="J437" s="42"/>
      <c r="K437" s="42"/>
      <c r="L437" s="42"/>
      <c r="M437" s="44"/>
      <c r="N437" s="45" t="str">
        <f>IFERROR(Miesiac_173[[#This Row],[Stawka]]/(Miesiac_173[[#This Row],[Trasa '[km']]]+Miesiac_173[[#This Row],[Podjazd '[km']]]),"-")</f>
        <v>-</v>
      </c>
      <c r="O437" s="42"/>
      <c r="Q437" s="51" t="s">
        <v>37</v>
      </c>
      <c r="R437" s="55"/>
      <c r="S437" s="52"/>
    </row>
    <row r="438" spans="8:19" s="27" customFormat="1" ht="15.75" x14ac:dyDescent="0.25">
      <c r="H438" s="43">
        <f t="shared" si="22"/>
        <v>45264</v>
      </c>
      <c r="I438" s="42"/>
      <c r="J438" s="42"/>
      <c r="K438" s="42"/>
      <c r="L438" s="42"/>
      <c r="M438" s="44"/>
      <c r="N438" s="45" t="str">
        <f>IFERROR(Miesiac_173[[#This Row],[Stawka]]/(Miesiac_173[[#This Row],[Trasa '[km']]]+Miesiac_173[[#This Row],[Podjazd '[km']]]),"-")</f>
        <v>-</v>
      </c>
      <c r="O438" s="39"/>
      <c r="Q438" s="51" t="s">
        <v>43</v>
      </c>
      <c r="R438" s="55"/>
      <c r="S438" s="52"/>
    </row>
    <row r="439" spans="8:19" s="27" customFormat="1" ht="15.75" x14ac:dyDescent="0.25">
      <c r="H439" s="43">
        <f t="shared" si="22"/>
        <v>45265</v>
      </c>
      <c r="I439" s="42"/>
      <c r="J439" s="42"/>
      <c r="K439" s="42"/>
      <c r="L439" s="42"/>
      <c r="M439" s="44"/>
      <c r="N439" s="45" t="str">
        <f>IFERROR(Miesiac_173[[#This Row],[Stawka]]/(Miesiac_173[[#This Row],[Trasa '[km']]]+Miesiac_173[[#This Row],[Podjazd '[km']]]),"-")</f>
        <v>-</v>
      </c>
      <c r="O439" s="39"/>
      <c r="Q439" s="51" t="s">
        <v>57</v>
      </c>
      <c r="R439" s="55"/>
      <c r="S439" s="52"/>
    </row>
    <row r="440" spans="8:19" s="27" customFormat="1" ht="15.75" x14ac:dyDescent="0.25">
      <c r="H440" s="43">
        <f t="shared" si="22"/>
        <v>45266</v>
      </c>
      <c r="I440" s="42"/>
      <c r="J440" s="42"/>
      <c r="K440" s="42"/>
      <c r="L440" s="42"/>
      <c r="M440" s="44"/>
      <c r="N440" s="45" t="str">
        <f>IFERROR(Miesiac_173[[#This Row],[Stawka]]/(Miesiac_173[[#This Row],[Trasa '[km']]]+Miesiac_173[[#This Row],[Podjazd '[km']]]),"-")</f>
        <v>-</v>
      </c>
      <c r="O440" s="42"/>
      <c r="Q440" s="51" t="s">
        <v>58</v>
      </c>
      <c r="R440" s="55"/>
      <c r="S440" s="52"/>
    </row>
    <row r="441" spans="8:19" s="27" customFormat="1" ht="15.75" x14ac:dyDescent="0.25">
      <c r="H441" s="43">
        <f t="shared" si="22"/>
        <v>45267</v>
      </c>
      <c r="I441" s="42"/>
      <c r="J441" s="42"/>
      <c r="K441" s="42"/>
      <c r="L441" s="42"/>
      <c r="M441" s="44"/>
      <c r="N441" s="45" t="str">
        <f>IFERROR(Miesiac_173[[#This Row],[Stawka]]/(Miesiac_173[[#This Row],[Trasa '[km']]]+Miesiac_173[[#This Row],[Podjazd '[km']]]),"-")</f>
        <v>-</v>
      </c>
      <c r="O441" s="42"/>
      <c r="Q441" s="51" t="s">
        <v>51</v>
      </c>
      <c r="R441" s="55"/>
      <c r="S441" s="52"/>
    </row>
    <row r="442" spans="8:19" s="27" customFormat="1" ht="15.75" x14ac:dyDescent="0.25">
      <c r="H442" s="43">
        <f t="shared" si="22"/>
        <v>45268</v>
      </c>
      <c r="I442" s="42"/>
      <c r="J442" s="42"/>
      <c r="K442" s="42"/>
      <c r="L442" s="42"/>
      <c r="M442" s="44"/>
      <c r="N442" s="45" t="str">
        <f>IFERROR(Miesiac_173[[#This Row],[Stawka]]/(Miesiac_173[[#This Row],[Trasa '[km']]]+Miesiac_173[[#This Row],[Podjazd '[km']]]),"-")</f>
        <v>-</v>
      </c>
      <c r="O442" s="42"/>
      <c r="Q442" s="51" t="s">
        <v>95</v>
      </c>
      <c r="R442" s="55"/>
      <c r="S442" s="52"/>
    </row>
    <row r="443" spans="8:19" s="27" customFormat="1" ht="15.75" x14ac:dyDescent="0.25">
      <c r="H443" s="43">
        <f t="shared" si="22"/>
        <v>45269</v>
      </c>
      <c r="I443" s="42"/>
      <c r="J443" s="42"/>
      <c r="K443" s="42"/>
      <c r="L443" s="42"/>
      <c r="M443" s="44"/>
      <c r="N443" s="45" t="str">
        <f>IFERROR(Miesiac_173[[#This Row],[Stawka]]/(Miesiac_173[[#This Row],[Trasa '[km']]]+Miesiac_173[[#This Row],[Podjazd '[km']]]),"-")</f>
        <v>-</v>
      </c>
      <c r="O443" s="42"/>
      <c r="Q443" s="51" t="s">
        <v>50</v>
      </c>
      <c r="R443" s="55"/>
      <c r="S443" s="52"/>
    </row>
    <row r="444" spans="8:19" s="27" customFormat="1" ht="15.75" x14ac:dyDescent="0.25">
      <c r="H444" s="43">
        <f t="shared" si="22"/>
        <v>45270</v>
      </c>
      <c r="I444" s="42"/>
      <c r="J444" s="42"/>
      <c r="K444" s="42"/>
      <c r="L444" s="42"/>
      <c r="M444" s="44"/>
      <c r="N444" s="45" t="str">
        <f>IFERROR(Miesiac_173[[#This Row],[Stawka]]/(Miesiac_173[[#This Row],[Trasa '[km']]]+Miesiac_173[[#This Row],[Podjazd '[km']]]),"-")</f>
        <v>-</v>
      </c>
      <c r="O444" s="42"/>
      <c r="Q444" s="51" t="s">
        <v>52</v>
      </c>
      <c r="R444" s="55"/>
      <c r="S444" s="52"/>
    </row>
    <row r="445" spans="8:19" s="27" customFormat="1" ht="15.75" x14ac:dyDescent="0.25">
      <c r="H445" s="43">
        <f t="shared" si="22"/>
        <v>45271</v>
      </c>
      <c r="I445" s="42"/>
      <c r="J445" s="42"/>
      <c r="K445" s="42"/>
      <c r="L445" s="42"/>
      <c r="M445" s="44"/>
      <c r="N445" s="45" t="str">
        <f>IFERROR(Miesiac_173[[#This Row],[Stawka]]/(Miesiac_173[[#This Row],[Trasa '[km']]]+Miesiac_173[[#This Row],[Podjazd '[km']]]),"-")</f>
        <v>-</v>
      </c>
      <c r="O445" s="42"/>
      <c r="Q445" s="51" t="s">
        <v>94</v>
      </c>
      <c r="R445" s="55"/>
      <c r="S445" s="52"/>
    </row>
    <row r="446" spans="8:19" s="27" customFormat="1" ht="15.75" x14ac:dyDescent="0.25">
      <c r="H446" s="43">
        <f t="shared" si="22"/>
        <v>45272</v>
      </c>
      <c r="I446" s="42"/>
      <c r="J446" s="42"/>
      <c r="K446" s="42"/>
      <c r="L446" s="42"/>
      <c r="M446" s="44"/>
      <c r="N446" s="45" t="str">
        <f>IFERROR(Miesiac_173[[#This Row],[Stawka]]/(Miesiac_173[[#This Row],[Trasa '[km']]]+Miesiac_173[[#This Row],[Podjazd '[km']]]),"-")</f>
        <v>-</v>
      </c>
      <c r="O446" s="42"/>
      <c r="Q446" s="51" t="s">
        <v>96</v>
      </c>
      <c r="R446" s="55"/>
      <c r="S446" s="52"/>
    </row>
    <row r="447" spans="8:19" s="27" customFormat="1" ht="15.75" x14ac:dyDescent="0.25">
      <c r="H447" s="43">
        <f t="shared" si="22"/>
        <v>45273</v>
      </c>
      <c r="I447" s="42"/>
      <c r="J447" s="42"/>
      <c r="K447" s="42"/>
      <c r="L447" s="42"/>
      <c r="M447" s="44"/>
      <c r="N447" s="45" t="str">
        <f>IFERROR(Miesiac_173[[#This Row],[Stawka]]/(Miesiac_173[[#This Row],[Trasa '[km']]]+Miesiac_173[[#This Row],[Podjazd '[km']]]),"-")</f>
        <v>-</v>
      </c>
      <c r="O447" s="42"/>
      <c r="Q447" s="51" t="s">
        <v>97</v>
      </c>
      <c r="R447" s="55"/>
      <c r="S447" s="52"/>
    </row>
    <row r="448" spans="8:19" s="27" customFormat="1" ht="15.75" x14ac:dyDescent="0.25">
      <c r="H448" s="43">
        <f t="shared" si="22"/>
        <v>45274</v>
      </c>
      <c r="I448" s="42"/>
      <c r="J448" s="42"/>
      <c r="K448" s="42"/>
      <c r="L448" s="42"/>
      <c r="M448" s="44"/>
      <c r="N448" s="45" t="str">
        <f>IFERROR(Miesiac_173[[#This Row],[Stawka]]/(Miesiac_173[[#This Row],[Trasa '[km']]]+Miesiac_173[[#This Row],[Podjazd '[km']]]),"-")</f>
        <v>-</v>
      </c>
      <c r="O448" s="42"/>
      <c r="Q448" s="51" t="s">
        <v>98</v>
      </c>
      <c r="R448" s="55"/>
      <c r="S448" s="52"/>
    </row>
    <row r="449" spans="8:19" s="27" customFormat="1" ht="15.75" x14ac:dyDescent="0.25">
      <c r="H449" s="43">
        <f t="shared" si="22"/>
        <v>45275</v>
      </c>
      <c r="I449" s="42"/>
      <c r="J449" s="42"/>
      <c r="K449" s="42"/>
      <c r="L449" s="42"/>
      <c r="M449" s="44"/>
      <c r="N449" s="45" t="str">
        <f>IFERROR(Miesiac_173[[#This Row],[Stawka]]/(Miesiac_173[[#This Row],[Trasa '[km']]]+Miesiac_173[[#This Row],[Podjazd '[km']]]),"-")</f>
        <v>-</v>
      </c>
      <c r="O449" s="42"/>
      <c r="Q449" s="51" t="s">
        <v>32</v>
      </c>
      <c r="R449" s="55"/>
      <c r="S449" s="52"/>
    </row>
    <row r="450" spans="8:19" s="27" customFormat="1" ht="15.75" x14ac:dyDescent="0.25">
      <c r="H450" s="43">
        <f t="shared" si="22"/>
        <v>45276</v>
      </c>
      <c r="I450" s="42"/>
      <c r="J450" s="42"/>
      <c r="K450" s="42"/>
      <c r="L450" s="42"/>
      <c r="M450" s="44"/>
      <c r="N450" s="45" t="str">
        <f>IFERROR(Miesiac_173[[#This Row],[Stawka]]/(Miesiac_173[[#This Row],[Trasa '[km']]]+Miesiac_173[[#This Row],[Podjazd '[km']]]),"-")</f>
        <v>-</v>
      </c>
      <c r="O450" s="42"/>
      <c r="Q450" s="51" t="s">
        <v>33</v>
      </c>
      <c r="R450" s="55"/>
      <c r="S450" s="52"/>
    </row>
    <row r="451" spans="8:19" s="27" customFormat="1" ht="15.75" x14ac:dyDescent="0.25">
      <c r="H451" s="43">
        <f t="shared" si="22"/>
        <v>45277</v>
      </c>
      <c r="I451" s="42"/>
      <c r="J451" s="42"/>
      <c r="K451" s="42"/>
      <c r="L451" s="42"/>
      <c r="M451" s="44"/>
      <c r="N451" s="45" t="str">
        <f>IFERROR(Miesiac_173[[#This Row],[Stawka]]/(Miesiac_173[[#This Row],[Trasa '[km']]]+Miesiac_173[[#This Row],[Podjazd '[km']]]),"-")</f>
        <v>-</v>
      </c>
      <c r="O451" s="42"/>
      <c r="Q451" s="51" t="s">
        <v>34</v>
      </c>
      <c r="R451" s="55"/>
      <c r="S451" s="52"/>
    </row>
    <row r="452" spans="8:19" s="27" customFormat="1" ht="15.75" x14ac:dyDescent="0.25">
      <c r="H452" s="43">
        <f t="shared" si="22"/>
        <v>45278</v>
      </c>
      <c r="I452" s="42"/>
      <c r="J452" s="42"/>
      <c r="K452" s="42"/>
      <c r="L452" s="42"/>
      <c r="M452" s="44"/>
      <c r="N452" s="45" t="str">
        <f>IFERROR(Miesiac_173[[#This Row],[Stawka]]/(Miesiac_173[[#This Row],[Trasa '[km']]]+Miesiac_173[[#This Row],[Podjazd '[km']]]),"-")</f>
        <v>-</v>
      </c>
      <c r="O452" s="42"/>
      <c r="Q452" s="51" t="s">
        <v>35</v>
      </c>
      <c r="R452" s="55"/>
      <c r="S452" s="52"/>
    </row>
    <row r="453" spans="8:19" s="27" customFormat="1" ht="15.75" x14ac:dyDescent="0.25">
      <c r="H453" s="43">
        <f t="shared" si="22"/>
        <v>45279</v>
      </c>
      <c r="I453" s="42"/>
      <c r="J453" s="42"/>
      <c r="K453" s="42"/>
      <c r="L453" s="42"/>
      <c r="M453" s="44"/>
      <c r="N453" s="45" t="str">
        <f>IFERROR(Miesiac_173[[#This Row],[Stawka]]/(Miesiac_173[[#This Row],[Trasa '[km']]]+Miesiac_173[[#This Row],[Podjazd '[km']]]),"-")</f>
        <v>-</v>
      </c>
      <c r="O453" s="42"/>
      <c r="Q453" s="51" t="s">
        <v>116</v>
      </c>
      <c r="R453" s="55"/>
      <c r="S453" s="52"/>
    </row>
    <row r="454" spans="8:19" s="27" customFormat="1" ht="15.75" x14ac:dyDescent="0.25">
      <c r="H454" s="43">
        <f t="shared" si="22"/>
        <v>45280</v>
      </c>
      <c r="I454" s="42"/>
      <c r="J454" s="42"/>
      <c r="K454" s="42"/>
      <c r="L454" s="42"/>
      <c r="M454" s="44"/>
      <c r="N454" s="45" t="str">
        <f>IFERROR(Miesiac_173[[#This Row],[Stawka]]/(Miesiac_173[[#This Row],[Trasa '[km']]]+Miesiac_173[[#This Row],[Podjazd '[km']]]),"-")</f>
        <v>-</v>
      </c>
      <c r="O454" s="42"/>
      <c r="Q454" s="51" t="s">
        <v>117</v>
      </c>
      <c r="R454" s="55"/>
      <c r="S454" s="52"/>
    </row>
    <row r="455" spans="8:19" s="27" customFormat="1" ht="15.75" x14ac:dyDescent="0.25">
      <c r="H455" s="43">
        <f t="shared" si="22"/>
        <v>45281</v>
      </c>
      <c r="I455" s="42"/>
      <c r="J455" s="42"/>
      <c r="K455" s="42"/>
      <c r="L455" s="42"/>
      <c r="M455" s="44"/>
      <c r="N455" s="45" t="str">
        <f>IFERROR(Miesiac_173[[#This Row],[Stawka]]/(Miesiac_173[[#This Row],[Trasa '[km']]]+Miesiac_173[[#This Row],[Podjazd '[km']]]),"-")</f>
        <v>-</v>
      </c>
      <c r="O455" s="42"/>
      <c r="Q455" s="51" t="s">
        <v>118</v>
      </c>
      <c r="R455" s="55"/>
      <c r="S455" s="52"/>
    </row>
    <row r="456" spans="8:19" s="27" customFormat="1" ht="15.75" x14ac:dyDescent="0.25">
      <c r="H456" s="43">
        <f t="shared" si="22"/>
        <v>45282</v>
      </c>
      <c r="I456" s="42"/>
      <c r="J456" s="42"/>
      <c r="K456" s="42"/>
      <c r="L456" s="42"/>
      <c r="M456" s="44"/>
      <c r="N456" s="45" t="str">
        <f>IFERROR(Miesiac_173[[#This Row],[Stawka]]/(Miesiac_173[[#This Row],[Trasa '[km']]]+Miesiac_173[[#This Row],[Podjazd '[km']]]),"-")</f>
        <v>-</v>
      </c>
      <c r="O456" s="42"/>
      <c r="Q456" s="51" t="s">
        <v>119</v>
      </c>
      <c r="R456" s="55"/>
      <c r="S456" s="52"/>
    </row>
    <row r="457" spans="8:19" s="27" customFormat="1" ht="15.75" x14ac:dyDescent="0.25">
      <c r="H457" s="43">
        <f t="shared" si="22"/>
        <v>45283</v>
      </c>
      <c r="I457" s="42"/>
      <c r="J457" s="42"/>
      <c r="K457" s="42"/>
      <c r="L457" s="42"/>
      <c r="M457" s="44"/>
      <c r="N457" s="45" t="str">
        <f>IFERROR(Miesiac_173[[#This Row],[Stawka]]/(Miesiac_173[[#This Row],[Trasa '[km']]]+Miesiac_173[[#This Row],[Podjazd '[km']]]),"-")</f>
        <v>-</v>
      </c>
      <c r="O457" s="42"/>
      <c r="Q457" s="51" t="s">
        <v>120</v>
      </c>
      <c r="R457" s="55"/>
      <c r="S457" s="52"/>
    </row>
    <row r="458" spans="8:19" s="27" customFormat="1" ht="15.75" x14ac:dyDescent="0.25">
      <c r="H458" s="43">
        <f t="shared" si="22"/>
        <v>45284</v>
      </c>
      <c r="I458" s="42"/>
      <c r="J458" s="42"/>
      <c r="K458" s="42"/>
      <c r="L458" s="42"/>
      <c r="M458" s="44"/>
      <c r="N458" s="45" t="str">
        <f>IFERROR(Miesiac_173[[#This Row],[Stawka]]/(Miesiac_173[[#This Row],[Trasa '[km']]]+Miesiac_173[[#This Row],[Podjazd '[km']]]),"-")</f>
        <v>-</v>
      </c>
      <c r="O458" s="42"/>
      <c r="Q458" s="51" t="s">
        <v>121</v>
      </c>
      <c r="R458" s="55"/>
      <c r="S458" s="52"/>
    </row>
    <row r="459" spans="8:19" s="27" customFormat="1" ht="15.75" x14ac:dyDescent="0.25">
      <c r="H459" s="43">
        <f t="shared" si="22"/>
        <v>45285</v>
      </c>
      <c r="I459" s="42"/>
      <c r="J459" s="42"/>
      <c r="K459" s="42"/>
      <c r="L459" s="42"/>
      <c r="M459" s="44"/>
      <c r="N459" s="45" t="str">
        <f>IFERROR(Miesiac_173[[#This Row],[Stawka]]/(Miesiac_173[[#This Row],[Trasa '[km']]]+Miesiac_173[[#This Row],[Podjazd '[km']]]),"-")</f>
        <v>-</v>
      </c>
      <c r="O459" s="42"/>
      <c r="Q459" s="51" t="s">
        <v>122</v>
      </c>
      <c r="R459" s="55"/>
      <c r="S459" s="52"/>
    </row>
    <row r="460" spans="8:19" s="27" customFormat="1" ht="18.75" x14ac:dyDescent="0.3">
      <c r="H460" s="43">
        <f t="shared" si="22"/>
        <v>45286</v>
      </c>
      <c r="I460" s="42"/>
      <c r="J460" s="42"/>
      <c r="K460" s="42"/>
      <c r="L460" s="42"/>
      <c r="M460" s="44"/>
      <c r="N460" s="45" t="str">
        <f>IFERROR(Miesiac_173[[#This Row],[Stawka]]/(Miesiac_173[[#This Row],[Trasa '[km']]]+Miesiac_173[[#This Row],[Podjazd '[km']]]),"-")</f>
        <v>-</v>
      </c>
      <c r="O460" s="42"/>
      <c r="Q460" s="28" t="s">
        <v>36</v>
      </c>
      <c r="R460" s="29">
        <f>SUBTOTAL(109,Koszty_12[Kwota PLN '[netto']])</f>
        <v>0</v>
      </c>
      <c r="S460" s="30">
        <f>SUBTOTAL(109,Koszty_12[Kwota € '[netto']])</f>
        <v>0</v>
      </c>
    </row>
    <row r="461" spans="8:19" s="27" customFormat="1" ht="15.75" x14ac:dyDescent="0.25">
      <c r="H461" s="43">
        <f t="shared" si="22"/>
        <v>45287</v>
      </c>
      <c r="I461" s="42"/>
      <c r="J461" s="42"/>
      <c r="K461" s="42"/>
      <c r="L461" s="42"/>
      <c r="M461" s="44"/>
      <c r="N461" s="45" t="str">
        <f>IFERROR(Miesiac_173[[#This Row],[Stawka]]/(Miesiac_173[[#This Row],[Trasa '[km']]]+Miesiac_173[[#This Row],[Podjazd '[km']]]),"-")</f>
        <v>-</v>
      </c>
      <c r="O461" s="42"/>
      <c r="Q461" s="1"/>
      <c r="R461" s="1"/>
      <c r="S461" s="1"/>
    </row>
    <row r="462" spans="8:19" s="27" customFormat="1" ht="15.75" x14ac:dyDescent="0.25">
      <c r="H462" s="50">
        <f>IF(H461&lt;&gt;"-",IF(MONTH(H461)=MONTH(H461+1),H461+1,"-"),"-")</f>
        <v>45288</v>
      </c>
      <c r="I462" s="42"/>
      <c r="J462" s="42"/>
      <c r="K462" s="42"/>
      <c r="L462" s="42"/>
      <c r="M462" s="44"/>
      <c r="N462" s="45" t="str">
        <f>IFERROR(Miesiac_173[[#This Row],[Stawka]]/(Miesiac_173[[#This Row],[Trasa '[km']]]+Miesiac_173[[#This Row],[Podjazd '[km']]]),"-")</f>
        <v>-</v>
      </c>
      <c r="O462" s="42"/>
      <c r="Q462" s="1"/>
      <c r="R462" s="1"/>
      <c r="S462" s="1"/>
    </row>
    <row r="463" spans="8:19" s="27" customFormat="1" ht="15.75" x14ac:dyDescent="0.25">
      <c r="H463" s="50">
        <f t="shared" ref="H463:H465" si="23">IF(H462&lt;&gt;"-",IF(MONTH(H462)=MONTH(H462+1),H462+1,"-"),"-")</f>
        <v>45289</v>
      </c>
      <c r="I463" s="42"/>
      <c r="J463" s="42"/>
      <c r="K463" s="42"/>
      <c r="L463" s="42"/>
      <c r="M463" s="44"/>
      <c r="N463" s="45" t="str">
        <f>IFERROR(Miesiac_173[[#This Row],[Stawka]]/(Miesiac_173[[#This Row],[Trasa '[km']]]+Miesiac_173[[#This Row],[Podjazd '[km']]]),"-")</f>
        <v>-</v>
      </c>
      <c r="O463" s="42"/>
      <c r="Q463" s="1"/>
      <c r="R463" s="1"/>
      <c r="S463" s="1"/>
    </row>
    <row r="464" spans="8:19" s="27" customFormat="1" ht="15.75" x14ac:dyDescent="0.25">
      <c r="H464" s="50">
        <f t="shared" si="23"/>
        <v>45290</v>
      </c>
      <c r="I464" s="42"/>
      <c r="J464" s="42"/>
      <c r="K464" s="42"/>
      <c r="L464" s="42"/>
      <c r="M464" s="44"/>
      <c r="N464" s="45" t="str">
        <f>IFERROR(Miesiac_173[[#This Row],[Stawka]]/(Miesiac_173[[#This Row],[Trasa '[km']]]+Miesiac_173[[#This Row],[Podjazd '[km']]]),"-")</f>
        <v>-</v>
      </c>
      <c r="O464" s="42"/>
      <c r="Q464" s="1"/>
      <c r="R464" s="1"/>
      <c r="S464" s="1"/>
    </row>
    <row r="465" spans="8:19" s="27" customFormat="1" ht="15.75" x14ac:dyDescent="0.25">
      <c r="H465" s="50">
        <f t="shared" si="23"/>
        <v>45291</v>
      </c>
      <c r="I465" s="51"/>
      <c r="J465" s="51"/>
      <c r="K465" s="51"/>
      <c r="L465" s="51"/>
      <c r="M465" s="52"/>
      <c r="N465" s="53" t="str">
        <f>IFERROR(Miesiac_173[[#This Row],[Stawka]]/(Miesiac_173[[#This Row],[Trasa '[km']]]+Miesiac_173[[#This Row],[Podjazd '[km']]]),"-")</f>
        <v>-</v>
      </c>
      <c r="O465" s="51"/>
      <c r="Q465" s="31" t="s">
        <v>89</v>
      </c>
      <c r="R465" s="32"/>
      <c r="S465" s="33" t="s">
        <v>90</v>
      </c>
    </row>
    <row r="466" spans="8:19" ht="15.75" x14ac:dyDescent="0.25">
      <c r="Q466" s="31" t="s">
        <v>91</v>
      </c>
      <c r="R466" s="33"/>
      <c r="S466" s="33" t="s">
        <v>90</v>
      </c>
    </row>
    <row r="467" spans="8:19" ht="19.5" thickBot="1" x14ac:dyDescent="0.35">
      <c r="J467" s="80" t="s">
        <v>55</v>
      </c>
      <c r="K467" s="80">
        <f>SUM(Miesiac_173[Podjazd '[km']])</f>
        <v>0</v>
      </c>
      <c r="L467" s="80">
        <f>SUM(Miesiac_173[Trasa '[km']])</f>
        <v>0</v>
      </c>
      <c r="M467" s="81">
        <f>SUM(Miesiac_173[Stawka])</f>
        <v>0</v>
      </c>
      <c r="N467" s="82" t="str">
        <f>IFERROR(M467/(L467+K467),"-")</f>
        <v>-</v>
      </c>
      <c r="Q467" s="84" t="s">
        <v>92</v>
      </c>
      <c r="R467" s="85">
        <f>R466-R465</f>
        <v>0</v>
      </c>
      <c r="S467" s="85" t="s">
        <v>90</v>
      </c>
    </row>
    <row r="468" spans="8:19" ht="21.75" thickBot="1" x14ac:dyDescent="0.4">
      <c r="J468" s="80" t="s">
        <v>56</v>
      </c>
      <c r="K468" s="83"/>
      <c r="L468" s="149">
        <f>M467/B17</f>
        <v>0</v>
      </c>
      <c r="M468" s="149"/>
      <c r="N468" s="149"/>
      <c r="Q468" s="88" t="s">
        <v>110</v>
      </c>
      <c r="R468" s="89" t="str">
        <f>IFERROR(M467/R467,"-")</f>
        <v>-</v>
      </c>
      <c r="S468" s="90"/>
    </row>
    <row r="469" spans="8:19" x14ac:dyDescent="0.25"/>
    <row r="470" spans="8:19" x14ac:dyDescent="0.25"/>
    <row r="471" spans="8:19" x14ac:dyDescent="0.25"/>
    <row r="472" spans="8:19" x14ac:dyDescent="0.25"/>
    <row r="473" spans="8:19" x14ac:dyDescent="0.25"/>
    <row r="474" spans="8:19" x14ac:dyDescent="0.25"/>
    <row r="475" spans="8:19" x14ac:dyDescent="0.25"/>
    <row r="476" spans="8:19" x14ac:dyDescent="0.25"/>
    <row r="477" spans="8:19" x14ac:dyDescent="0.25"/>
    <row r="478" spans="8:19" x14ac:dyDescent="0.25"/>
    <row r="479" spans="8:19" x14ac:dyDescent="0.25"/>
    <row r="480" spans="8:19" x14ac:dyDescent="0.25"/>
    <row r="481" s="1" customFormat="1" x14ac:dyDescent="0.25"/>
    <row r="482" s="1" customFormat="1" x14ac:dyDescent="0.25"/>
    <row r="483" s="1" customFormat="1" x14ac:dyDescent="0.25"/>
    <row r="484" s="1" customFormat="1" hidden="1" x14ac:dyDescent="0.25"/>
    <row r="485" s="1" customFormat="1" hidden="1" x14ac:dyDescent="0.25"/>
    <row r="486" s="1" customFormat="1" hidden="1" x14ac:dyDescent="0.25"/>
    <row r="487" s="1" customFormat="1" hidden="1" x14ac:dyDescent="0.25"/>
    <row r="488" s="1" customFormat="1" hidden="1" x14ac:dyDescent="0.25"/>
  </sheetData>
  <sheetProtection algorithmName="SHA-512" hashValue="wHZC2yRfCt3uJC3IiTBCW+EhErHWRadHo2LKLOJkdLO9hQ+1Yz9WLX3uy28veIyzYSEfBJa7Amkj3PGqx4S9aQ==" saltValue="lU77QLb5PgKLs8gtNZLhBA==" spinCount="100000" sheet="1" insertHyperlinks="0"/>
  <mergeCells count="25">
    <mergeCell ref="H432:I432"/>
    <mergeCell ref="L468:N468"/>
    <mergeCell ref="H315:I315"/>
    <mergeCell ref="L351:N351"/>
    <mergeCell ref="H354:I354"/>
    <mergeCell ref="L390:N390"/>
    <mergeCell ref="H393:I393"/>
    <mergeCell ref="J1:M1"/>
    <mergeCell ref="L39:N39"/>
    <mergeCell ref="H81:I81"/>
    <mergeCell ref="L117:N117"/>
    <mergeCell ref="H120:I120"/>
    <mergeCell ref="L195:N195"/>
    <mergeCell ref="L312:N312"/>
    <mergeCell ref="L429:N429"/>
    <mergeCell ref="H3:I3"/>
    <mergeCell ref="H42:I42"/>
    <mergeCell ref="L78:N78"/>
    <mergeCell ref="L156:N156"/>
    <mergeCell ref="H159:I159"/>
    <mergeCell ref="H198:I198"/>
    <mergeCell ref="L234:N234"/>
    <mergeCell ref="H237:I237"/>
    <mergeCell ref="L273:N273"/>
    <mergeCell ref="H276:I276"/>
  </mergeCells>
  <phoneticPr fontId="5" type="noConversion"/>
  <conditionalFormatting sqref="I6:O36">
    <cfRule type="expression" dxfId="36" priority="41">
      <formula>WEEKDAY($H6,2)&gt;=6</formula>
    </cfRule>
  </conditionalFormatting>
  <conditionalFormatting sqref="I45:O75">
    <cfRule type="expression" dxfId="35" priority="40">
      <formula>WEEKDAY($H45,2)&gt;=6</formula>
    </cfRule>
  </conditionalFormatting>
  <conditionalFormatting sqref="I84:O114">
    <cfRule type="expression" dxfId="34" priority="39">
      <formula>WEEKDAY($H84,2)&gt;=6</formula>
    </cfRule>
  </conditionalFormatting>
  <conditionalFormatting sqref="I123:O153">
    <cfRule type="expression" dxfId="33" priority="38">
      <formula>WEEKDAY($H123,2)&gt;=6</formula>
    </cfRule>
  </conditionalFormatting>
  <conditionalFormatting sqref="I162:O192">
    <cfRule type="expression" dxfId="32" priority="37">
      <formula>WEEKDAY($H162,2)&gt;=6</formula>
    </cfRule>
  </conditionalFormatting>
  <conditionalFormatting sqref="I201:O231">
    <cfRule type="expression" dxfId="31" priority="36">
      <formula>WEEKDAY($H201,2)&gt;=6</formula>
    </cfRule>
  </conditionalFormatting>
  <conditionalFormatting sqref="I240:O270">
    <cfRule type="expression" dxfId="30" priority="35">
      <formula>WEEKDAY($H240,2)&gt;=6</formula>
    </cfRule>
  </conditionalFormatting>
  <conditionalFormatting sqref="I279:O309">
    <cfRule type="expression" dxfId="29" priority="34">
      <formula>WEEKDAY($H279,2)&gt;=6</formula>
    </cfRule>
  </conditionalFormatting>
  <conditionalFormatting sqref="I318:O348">
    <cfRule type="expression" dxfId="28" priority="33">
      <formula>WEEKDAY($H318,2)&gt;=6</formula>
    </cfRule>
  </conditionalFormatting>
  <conditionalFormatting sqref="I357:O387">
    <cfRule type="expression" dxfId="27" priority="32">
      <formula>WEEKDAY($H357,2)&gt;=6</formula>
    </cfRule>
  </conditionalFormatting>
  <conditionalFormatting sqref="I396:O426">
    <cfRule type="expression" dxfId="26" priority="31">
      <formula>WEEKDAY($H396,2)&gt;=6</formula>
    </cfRule>
  </conditionalFormatting>
  <conditionalFormatting sqref="I435:O465">
    <cfRule type="expression" dxfId="25" priority="30">
      <formula>WEEKDAY($H435,2)&gt;=6</formula>
    </cfRule>
  </conditionalFormatting>
  <conditionalFormatting sqref="S6:S7 S16:S31">
    <cfRule type="expression" dxfId="24" priority="23">
      <formula>$B$2="PLN(zł)"</formula>
    </cfRule>
  </conditionalFormatting>
  <conditionalFormatting sqref="S45:S46 S55:S70">
    <cfRule type="expression" dxfId="23" priority="22">
      <formula>$B$2="PLN(zł)"</formula>
    </cfRule>
  </conditionalFormatting>
  <conditionalFormatting sqref="S84:S85 S94:S109">
    <cfRule type="expression" dxfId="22" priority="21">
      <formula>$B$2="PLN(zł)"</formula>
    </cfRule>
  </conditionalFormatting>
  <conditionalFormatting sqref="S123:S124 S133:S148">
    <cfRule type="expression" dxfId="21" priority="20">
      <formula>$B$2="PLN(zł)"</formula>
    </cfRule>
  </conditionalFormatting>
  <conditionalFormatting sqref="S162:S163 S172:S187">
    <cfRule type="expression" dxfId="20" priority="19">
      <formula>$B$2="PLN(zł)"</formula>
    </cfRule>
  </conditionalFormatting>
  <conditionalFormatting sqref="S201:S202 S211:S226">
    <cfRule type="expression" dxfId="19" priority="18">
      <formula>$B$2="PLN(zł)"</formula>
    </cfRule>
  </conditionalFormatting>
  <conditionalFormatting sqref="S240:S241 S250:S265">
    <cfRule type="expression" dxfId="18" priority="17">
      <formula>$B$2="PLN(zł)"</formula>
    </cfRule>
  </conditionalFormatting>
  <conditionalFormatting sqref="S279:S280 S289:S304">
    <cfRule type="expression" dxfId="17" priority="16">
      <formula>$B$2="PLN(zł)"</formula>
    </cfRule>
  </conditionalFormatting>
  <conditionalFormatting sqref="S318:S319 S328:S343">
    <cfRule type="expression" dxfId="16" priority="15">
      <formula>$B$2="PLN(zł)"</formula>
    </cfRule>
  </conditionalFormatting>
  <conditionalFormatting sqref="S357:S358 S367:S382">
    <cfRule type="expression" dxfId="15" priority="14">
      <formula>$B$2="PLN(zł)"</formula>
    </cfRule>
  </conditionalFormatting>
  <conditionalFormatting sqref="S396:S397 S406:S421">
    <cfRule type="expression" dxfId="14" priority="13">
      <formula>$B$2="PLN(zł)"</formula>
    </cfRule>
  </conditionalFormatting>
  <conditionalFormatting sqref="S435:S460">
    <cfRule type="expression" dxfId="13" priority="12">
      <formula>$B$2="PLN(zł)"</formula>
    </cfRule>
  </conditionalFormatting>
  <conditionalFormatting sqref="M38 M6:M36 B6:C17 M45:M75 M77 M84:M114 M116 M123:M153 M155 M162:M192 M194 M201:M231 M233 M240:M270 M272 M279:M309 M311 M318:M348 M350 M357:M387 M389 M396:M426 M428 M435:M465 M467">
    <cfRule type="expression" dxfId="12" priority="24">
      <formula>$B$2="EUR(€)"</formula>
    </cfRule>
    <cfRule type="expression" dxfId="11" priority="29">
      <formula>$B$2="PLN(zł)"</formula>
    </cfRule>
  </conditionalFormatting>
  <conditionalFormatting sqref="S398:S405">
    <cfRule type="expression" dxfId="10" priority="11">
      <formula>$B$2="PLN(zł)"</formula>
    </cfRule>
  </conditionalFormatting>
  <conditionalFormatting sqref="S359:S366">
    <cfRule type="expression" dxfId="9" priority="10">
      <formula>$B$2="PLN(zł)"</formula>
    </cfRule>
  </conditionalFormatting>
  <conditionalFormatting sqref="S320:S327">
    <cfRule type="expression" dxfId="8" priority="9">
      <formula>$B$2="PLN(zł)"</formula>
    </cfRule>
  </conditionalFormatting>
  <conditionalFormatting sqref="S281:S288">
    <cfRule type="expression" dxfId="7" priority="8">
      <formula>$B$2="PLN(zł)"</formula>
    </cfRule>
  </conditionalFormatting>
  <conditionalFormatting sqref="S242:S249">
    <cfRule type="expression" dxfId="6" priority="7">
      <formula>$B$2="PLN(zł)"</formula>
    </cfRule>
  </conditionalFormatting>
  <conditionalFormatting sqref="S203:S210">
    <cfRule type="expression" dxfId="5" priority="6">
      <formula>$B$2="PLN(zł)"</formula>
    </cfRule>
  </conditionalFormatting>
  <conditionalFormatting sqref="S164:S171">
    <cfRule type="expression" dxfId="4" priority="5">
      <formula>$B$2="PLN(zł)"</formula>
    </cfRule>
  </conditionalFormatting>
  <conditionalFormatting sqref="S125:S132">
    <cfRule type="expression" dxfId="3" priority="4">
      <formula>$B$2="PLN(zł)"</formula>
    </cfRule>
  </conditionalFormatting>
  <conditionalFormatting sqref="S86:S93">
    <cfRule type="expression" dxfId="2" priority="3">
      <formula>$B$2="PLN(zł)"</formula>
    </cfRule>
  </conditionalFormatting>
  <conditionalFormatting sqref="S47:S54">
    <cfRule type="expression" dxfId="1" priority="2">
      <formula>$B$2="PLN(zł)"</formula>
    </cfRule>
  </conditionalFormatting>
  <conditionalFormatting sqref="S8:S15">
    <cfRule type="expression" dxfId="0" priority="1">
      <formula>$B$2="PLN(zł)"</formula>
    </cfRule>
  </conditionalFormatting>
  <pageMargins left="0.7" right="0.7" top="0.75" bottom="0.75" header="0.3" footer="0.3"/>
  <pageSetup paperSize="9" orientation="portrait" r:id="rId1"/>
  <drawing r:id="rId2"/>
  <tableParts count="25">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s>
  <extLst>
    <ext xmlns:x14="http://schemas.microsoft.com/office/spreadsheetml/2009/9/main" uri="{CCE6A557-97BC-4b89-ADB6-D9C93CAAB3DF}">
      <x14:dataValidations xmlns:xm="http://schemas.microsoft.com/office/excel/2006/main" count="3">
        <x14:dataValidation type="list" allowBlank="1" showInputMessage="1" showErrorMessage="1" xr:uid="{4E5E40E6-D573-483F-AC73-AF3CA90A8F92}">
          <x14:formula1>
            <xm:f>Wyniki!$V$5:$V$16</xm:f>
          </x14:formula1>
          <xm:sqref>H3 H432 H393 H354 H315 H276 H237 H198 H159 H120 H81 H42</xm:sqref>
        </x14:dataValidation>
        <x14:dataValidation type="list" allowBlank="1" showInputMessage="1" showErrorMessage="1" xr:uid="{E0241F36-F327-435F-9B21-92B6ACB5678B}">
          <x14:formula1>
            <xm:f>Wyniki!$W$5:$W$6</xm:f>
          </x14:formula1>
          <xm:sqref>J3 J432 J393 J354 J315 J276 J237 J198 J159 J120 J81 J42</xm:sqref>
        </x14:dataValidation>
        <x14:dataValidation type="list" allowBlank="1" showInputMessage="1" showErrorMessage="1" xr:uid="{D9F4810A-D31F-45B3-A301-CB6020CB776C}">
          <x14:formula1>
            <xm:f>Wyniki!$T$12:$T$13</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9F3DC-C5A7-49BB-8D75-4DB301DE28B7}">
  <sheetPr codeName="Arkusz2">
    <tabColor rgb="FFEB6440"/>
  </sheetPr>
  <dimension ref="A1:AC40"/>
  <sheetViews>
    <sheetView showGridLines="0" zoomScale="55" zoomScaleNormal="55" zoomScaleSheetLayoutView="80" workbookViewId="0">
      <pane xSplit="3" topLeftCell="D1" activePane="topRight" state="frozen"/>
      <selection pane="topRight" activeCell="X33" sqref="X33"/>
    </sheetView>
  </sheetViews>
  <sheetFormatPr defaultColWidth="0" defaultRowHeight="15" zeroHeight="1" x14ac:dyDescent="0.25"/>
  <cols>
    <col min="1" max="1" width="5.7109375" style="1" customWidth="1"/>
    <col min="2" max="2" width="4.85546875" style="1" customWidth="1"/>
    <col min="3" max="3" width="57.28515625" style="1" customWidth="1"/>
    <col min="4" max="4" width="15.7109375" style="1" customWidth="1"/>
    <col min="5" max="5" width="18.42578125" style="1" customWidth="1"/>
    <col min="6" max="6" width="15.7109375" style="1" customWidth="1"/>
    <col min="7" max="7" width="18.42578125" style="1" customWidth="1"/>
    <col min="8" max="8" width="15.7109375" style="1" customWidth="1"/>
    <col min="9" max="9" width="18.42578125" style="1" customWidth="1"/>
    <col min="10" max="10" width="17" style="1" customWidth="1"/>
    <col min="11" max="11" width="18.42578125" style="1" customWidth="1"/>
    <col min="12" max="12" width="15.7109375" style="1" customWidth="1"/>
    <col min="13" max="13" width="18.42578125" style="1" customWidth="1"/>
    <col min="14" max="14" width="16.7109375" style="1" customWidth="1"/>
    <col min="15" max="15" width="18.42578125" style="1" customWidth="1"/>
    <col min="16" max="16" width="15.7109375" style="1" customWidth="1"/>
    <col min="17" max="17" width="18.42578125" style="1" customWidth="1"/>
    <col min="18" max="18" width="15.7109375" style="1" customWidth="1"/>
    <col min="19" max="19" width="18.42578125" style="1" customWidth="1"/>
    <col min="20" max="20" width="17.140625" style="1" customWidth="1"/>
    <col min="21" max="21" width="18.42578125" style="1" customWidth="1"/>
    <col min="22" max="22" width="20.140625" style="1" customWidth="1"/>
    <col min="23" max="23" width="20.28515625" style="1" customWidth="1"/>
    <col min="24" max="24" width="15.7109375" style="1" customWidth="1"/>
    <col min="25" max="25" width="20.28515625" style="1" customWidth="1"/>
    <col min="26" max="26" width="16.7109375" style="1" customWidth="1"/>
    <col min="27" max="27" width="20.28515625" style="1" customWidth="1"/>
    <col min="28" max="28" width="15.7109375" style="1" customWidth="1"/>
    <col min="29" max="29" width="8.85546875" style="1" customWidth="1"/>
    <col min="30" max="16384" width="8.85546875" style="1" hidden="1"/>
  </cols>
  <sheetData>
    <row r="1" spans="3:27" ht="18" customHeight="1" x14ac:dyDescent="0.25"/>
    <row r="2" spans="3:27" ht="18" customHeight="1" x14ac:dyDescent="0.25"/>
    <row r="3" spans="3:27" s="10" customFormat="1" ht="113.45" customHeight="1" thickBot="1" x14ac:dyDescent="0.3">
      <c r="C3" s="93" t="s">
        <v>31</v>
      </c>
      <c r="D3" s="157" t="str">
        <f>Wyniki!$D5</f>
        <v>Styczeń 2023</v>
      </c>
      <c r="E3" s="158"/>
      <c r="F3" s="157" t="str">
        <f>Wyniki!$D6</f>
        <v>Luty 2023</v>
      </c>
      <c r="G3" s="158"/>
      <c r="H3" s="157" t="str">
        <f>Wyniki!$D7</f>
        <v>Marzec 2023</v>
      </c>
      <c r="I3" s="158"/>
      <c r="J3" s="157" t="str">
        <f>Wyniki!D8</f>
        <v>Kwiecień 2023</v>
      </c>
      <c r="K3" s="158"/>
      <c r="L3" s="157" t="str">
        <f>Wyniki!D9</f>
        <v>Maj 2023</v>
      </c>
      <c r="M3" s="158"/>
      <c r="N3" s="157" t="str">
        <f>Wyniki!D10</f>
        <v>Czerwiec 2023</v>
      </c>
      <c r="O3" s="158"/>
      <c r="P3" s="157" t="str">
        <f>Wyniki!D11</f>
        <v>Lipiec 2023</v>
      </c>
      <c r="Q3" s="158"/>
      <c r="R3" s="157" t="str">
        <f>Wyniki!D12</f>
        <v>Sierpień 2023</v>
      </c>
      <c r="S3" s="158"/>
      <c r="T3" s="157" t="str">
        <f>Wyniki!D13</f>
        <v>Wrzesień 2023</v>
      </c>
      <c r="U3" s="158"/>
      <c r="V3" s="157" t="str">
        <f>Wyniki!D14</f>
        <v>Październik 2023</v>
      </c>
      <c r="W3" s="158"/>
      <c r="X3" s="159" t="str">
        <f>Wyniki!D15</f>
        <v>Listopad 2023</v>
      </c>
      <c r="Y3" s="158"/>
      <c r="Z3" s="157" t="str">
        <f>Wyniki!D16</f>
        <v>Grudzień 2023</v>
      </c>
      <c r="AA3" s="158"/>
    </row>
    <row r="4" spans="3:27" s="10" customFormat="1" ht="113.45" hidden="1" customHeight="1" thickBot="1" x14ac:dyDescent="0.3">
      <c r="C4" s="16" t="s">
        <v>31</v>
      </c>
      <c r="D4" s="19" t="s">
        <v>99</v>
      </c>
      <c r="E4" s="18" t="s">
        <v>103</v>
      </c>
      <c r="F4" s="19" t="s">
        <v>100</v>
      </c>
      <c r="G4" s="20" t="s">
        <v>73</v>
      </c>
      <c r="H4" s="19" t="s">
        <v>101</v>
      </c>
      <c r="I4" s="21" t="s">
        <v>74</v>
      </c>
      <c r="J4" s="22" t="s">
        <v>102</v>
      </c>
      <c r="K4" s="21" t="s">
        <v>64</v>
      </c>
      <c r="L4" s="19" t="s">
        <v>10</v>
      </c>
      <c r="M4" s="21" t="s">
        <v>65</v>
      </c>
      <c r="N4" s="19" t="s">
        <v>11</v>
      </c>
      <c r="O4" s="20" t="s">
        <v>66</v>
      </c>
      <c r="P4" s="19" t="s">
        <v>12</v>
      </c>
      <c r="Q4" s="21" t="s">
        <v>67</v>
      </c>
      <c r="R4" s="19" t="s">
        <v>13</v>
      </c>
      <c r="S4" s="21" t="s">
        <v>68</v>
      </c>
      <c r="T4" s="19" t="s">
        <v>14</v>
      </c>
      <c r="U4" s="21" t="s">
        <v>69</v>
      </c>
      <c r="V4" s="19" t="s">
        <v>15</v>
      </c>
      <c r="W4" s="21" t="s">
        <v>70</v>
      </c>
      <c r="X4" s="19" t="s">
        <v>16</v>
      </c>
      <c r="Y4" s="21" t="s">
        <v>71</v>
      </c>
      <c r="Z4" s="19" t="s">
        <v>17</v>
      </c>
      <c r="AA4" s="21" t="s">
        <v>72</v>
      </c>
    </row>
    <row r="5" spans="3:27" s="11" customFormat="1" ht="29.45" customHeight="1" x14ac:dyDescent="0.25">
      <c r="C5" s="94"/>
      <c r="D5" s="95" t="s">
        <v>47</v>
      </c>
      <c r="E5" s="94" t="s">
        <v>46</v>
      </c>
      <c r="F5" s="95" t="s">
        <v>45</v>
      </c>
      <c r="G5" s="94" t="s">
        <v>46</v>
      </c>
      <c r="H5" s="95" t="s">
        <v>45</v>
      </c>
      <c r="I5" s="94" t="s">
        <v>46</v>
      </c>
      <c r="J5" s="95" t="s">
        <v>45</v>
      </c>
      <c r="K5" s="94" t="s">
        <v>46</v>
      </c>
      <c r="L5" s="95" t="s">
        <v>45</v>
      </c>
      <c r="M5" s="94" t="s">
        <v>46</v>
      </c>
      <c r="N5" s="95" t="s">
        <v>45</v>
      </c>
      <c r="O5" s="94" t="s">
        <v>46</v>
      </c>
      <c r="P5" s="95" t="s">
        <v>45</v>
      </c>
      <c r="Q5" s="94" t="s">
        <v>46</v>
      </c>
      <c r="R5" s="95" t="s">
        <v>45</v>
      </c>
      <c r="S5" s="94" t="s">
        <v>46</v>
      </c>
      <c r="T5" s="95" t="s">
        <v>45</v>
      </c>
      <c r="U5" s="94" t="s">
        <v>46</v>
      </c>
      <c r="V5" s="95" t="s">
        <v>45</v>
      </c>
      <c r="W5" s="94" t="s">
        <v>46</v>
      </c>
      <c r="X5" s="95" t="s">
        <v>45</v>
      </c>
      <c r="Y5" s="94" t="s">
        <v>46</v>
      </c>
      <c r="Z5" s="95" t="s">
        <v>45</v>
      </c>
      <c r="AA5" s="94" t="s">
        <v>46</v>
      </c>
    </row>
    <row r="6" spans="3:27" ht="19.899999999999999" customHeight="1" x14ac:dyDescent="0.3">
      <c r="C6" s="24" t="s">
        <v>21</v>
      </c>
      <c r="D6" s="56"/>
      <c r="E6" s="57"/>
      <c r="F6" s="56"/>
      <c r="G6" s="57"/>
      <c r="H6" s="56"/>
      <c r="I6" s="57"/>
      <c r="J6" s="56"/>
      <c r="K6" s="57"/>
      <c r="L6" s="56"/>
      <c r="M6" s="57"/>
      <c r="N6" s="56"/>
      <c r="O6" s="57"/>
      <c r="P6" s="56"/>
      <c r="Q6" s="57"/>
      <c r="R6" s="56"/>
      <c r="S6" s="57"/>
      <c r="T6" s="56"/>
      <c r="U6" s="57"/>
      <c r="V6" s="56"/>
      <c r="W6" s="57"/>
      <c r="X6" s="56"/>
      <c r="Y6" s="57"/>
      <c r="Z6" s="56"/>
      <c r="AA6" s="57"/>
    </row>
    <row r="7" spans="3:27" ht="19.899999999999999" customHeight="1" x14ac:dyDescent="0.3">
      <c r="C7" s="25" t="s">
        <v>111</v>
      </c>
      <c r="D7" s="58"/>
      <c r="E7" s="59"/>
      <c r="F7" s="58"/>
      <c r="G7" s="59"/>
      <c r="H7" s="58"/>
      <c r="I7" s="59"/>
      <c r="J7" s="58"/>
      <c r="K7" s="59"/>
      <c r="L7" s="58"/>
      <c r="M7" s="59"/>
      <c r="N7" s="58"/>
      <c r="O7" s="59"/>
      <c r="P7" s="58"/>
      <c r="Q7" s="59"/>
      <c r="R7" s="58"/>
      <c r="S7" s="59"/>
      <c r="T7" s="58"/>
      <c r="U7" s="59"/>
      <c r="V7" s="58"/>
      <c r="W7" s="59"/>
      <c r="X7" s="58"/>
      <c r="Y7" s="59"/>
      <c r="Z7" s="58"/>
      <c r="AA7" s="59"/>
    </row>
    <row r="8" spans="3:27" ht="19.899999999999999" customHeight="1" x14ac:dyDescent="0.3">
      <c r="C8" s="24" t="s">
        <v>20</v>
      </c>
      <c r="D8" s="56"/>
      <c r="E8" s="60"/>
      <c r="F8" s="61"/>
      <c r="G8" s="57"/>
      <c r="H8" s="56"/>
      <c r="I8" s="57"/>
      <c r="J8" s="56"/>
      <c r="K8" s="57"/>
      <c r="L8" s="56"/>
      <c r="M8" s="57"/>
      <c r="N8" s="56"/>
      <c r="O8" s="57"/>
      <c r="P8" s="56"/>
      <c r="Q8" s="57"/>
      <c r="R8" s="56"/>
      <c r="S8" s="57"/>
      <c r="T8" s="56"/>
      <c r="U8" s="57"/>
      <c r="V8" s="56"/>
      <c r="W8" s="57"/>
      <c r="X8" s="56"/>
      <c r="Y8" s="57"/>
      <c r="Z8" s="56"/>
      <c r="AA8" s="57"/>
    </row>
    <row r="9" spans="3:27" ht="19.899999999999999" customHeight="1" x14ac:dyDescent="0.3">
      <c r="C9" s="25" t="s">
        <v>25</v>
      </c>
      <c r="D9" s="58"/>
      <c r="E9" s="59"/>
      <c r="F9" s="58"/>
      <c r="G9" s="59"/>
      <c r="H9" s="58"/>
      <c r="I9" s="59"/>
      <c r="J9" s="58"/>
      <c r="K9" s="59"/>
      <c r="L9" s="58"/>
      <c r="M9" s="59"/>
      <c r="N9" s="58"/>
      <c r="O9" s="59"/>
      <c r="P9" s="58"/>
      <c r="Q9" s="59"/>
      <c r="R9" s="58"/>
      <c r="S9" s="59"/>
      <c r="T9" s="58"/>
      <c r="U9" s="59"/>
      <c r="V9" s="58"/>
      <c r="W9" s="59"/>
      <c r="X9" s="58"/>
      <c r="Y9" s="59"/>
      <c r="Z9" s="58"/>
      <c r="AA9" s="59"/>
    </row>
    <row r="10" spans="3:27" ht="19.899999999999999" customHeight="1" x14ac:dyDescent="0.3">
      <c r="C10" s="24" t="s">
        <v>22</v>
      </c>
      <c r="D10" s="56"/>
      <c r="E10" s="57"/>
      <c r="F10" s="56"/>
      <c r="G10" s="57"/>
      <c r="H10" s="56"/>
      <c r="I10" s="57"/>
      <c r="J10" s="56"/>
      <c r="K10" s="57"/>
      <c r="L10" s="56"/>
      <c r="M10" s="57"/>
      <c r="N10" s="56"/>
      <c r="O10" s="57"/>
      <c r="P10" s="56"/>
      <c r="Q10" s="57"/>
      <c r="R10" s="56"/>
      <c r="S10" s="57"/>
      <c r="T10" s="56"/>
      <c r="U10" s="57"/>
      <c r="V10" s="56"/>
      <c r="W10" s="57"/>
      <c r="X10" s="56"/>
      <c r="Y10" s="57"/>
      <c r="Z10" s="56"/>
      <c r="AA10" s="57"/>
    </row>
    <row r="11" spans="3:27" ht="19.899999999999999" customHeight="1" x14ac:dyDescent="0.3">
      <c r="C11" s="25" t="s">
        <v>23</v>
      </c>
      <c r="D11" s="58"/>
      <c r="E11" s="59"/>
      <c r="F11" s="58"/>
      <c r="G11" s="59"/>
      <c r="H11" s="58"/>
      <c r="I11" s="59"/>
      <c r="J11" s="58"/>
      <c r="K11" s="59"/>
      <c r="L11" s="58"/>
      <c r="M11" s="59"/>
      <c r="N11" s="58"/>
      <c r="O11" s="59"/>
      <c r="P11" s="58"/>
      <c r="Q11" s="59"/>
      <c r="R11" s="58"/>
      <c r="S11" s="59"/>
      <c r="T11" s="58"/>
      <c r="U11" s="59"/>
      <c r="V11" s="58"/>
      <c r="W11" s="59"/>
      <c r="X11" s="58"/>
      <c r="Y11" s="59"/>
      <c r="Z11" s="58"/>
      <c r="AA11" s="59"/>
    </row>
    <row r="12" spans="3:27" ht="19.899999999999999" customHeight="1" x14ac:dyDescent="0.3">
      <c r="C12" s="24" t="s">
        <v>24</v>
      </c>
      <c r="D12" s="56"/>
      <c r="E12" s="57"/>
      <c r="F12" s="56"/>
      <c r="G12" s="57"/>
      <c r="H12" s="56"/>
      <c r="I12" s="57"/>
      <c r="J12" s="56"/>
      <c r="K12" s="57"/>
      <c r="L12" s="56"/>
      <c r="M12" s="57"/>
      <c r="N12" s="56"/>
      <c r="O12" s="57"/>
      <c r="P12" s="56"/>
      <c r="Q12" s="57"/>
      <c r="R12" s="56"/>
      <c r="S12" s="57"/>
      <c r="T12" s="56"/>
      <c r="U12" s="57"/>
      <c r="V12" s="56"/>
      <c r="W12" s="57"/>
      <c r="X12" s="56"/>
      <c r="Y12" s="57"/>
      <c r="Z12" s="56"/>
      <c r="AA12" s="57"/>
    </row>
    <row r="13" spans="3:27" ht="19.899999999999999" customHeight="1" x14ac:dyDescent="0.3">
      <c r="C13" s="25" t="s">
        <v>123</v>
      </c>
      <c r="D13" s="58"/>
      <c r="E13" s="62"/>
      <c r="F13" s="58"/>
      <c r="G13" s="59"/>
      <c r="H13" s="58"/>
      <c r="I13" s="59"/>
      <c r="J13" s="58"/>
      <c r="K13" s="59"/>
      <c r="L13" s="58"/>
      <c r="M13" s="59"/>
      <c r="N13" s="58"/>
      <c r="O13" s="59"/>
      <c r="P13" s="58"/>
      <c r="Q13" s="59"/>
      <c r="R13" s="58"/>
      <c r="S13" s="59"/>
      <c r="T13" s="58"/>
      <c r="U13" s="59"/>
      <c r="V13" s="58"/>
      <c r="W13" s="59"/>
      <c r="X13" s="58"/>
      <c r="Y13" s="59"/>
      <c r="Z13" s="58"/>
      <c r="AA13" s="59"/>
    </row>
    <row r="14" spans="3:27" ht="19.899999999999999" customHeight="1" x14ac:dyDescent="0.3">
      <c r="C14" s="24" t="s">
        <v>124</v>
      </c>
      <c r="D14" s="56"/>
      <c r="E14" s="57"/>
      <c r="F14" s="56"/>
      <c r="G14" s="57"/>
      <c r="H14" s="56"/>
      <c r="I14" s="57"/>
      <c r="J14" s="56"/>
      <c r="K14" s="57"/>
      <c r="L14" s="56"/>
      <c r="M14" s="57"/>
      <c r="N14" s="56"/>
      <c r="O14" s="57"/>
      <c r="P14" s="56"/>
      <c r="Q14" s="57"/>
      <c r="R14" s="56"/>
      <c r="S14" s="57"/>
      <c r="T14" s="56"/>
      <c r="U14" s="57"/>
      <c r="V14" s="56"/>
      <c r="W14" s="57"/>
      <c r="X14" s="56"/>
      <c r="Y14" s="57"/>
      <c r="Z14" s="56"/>
      <c r="AA14" s="57"/>
    </row>
    <row r="15" spans="3:27" ht="19.899999999999999" customHeight="1" x14ac:dyDescent="0.3">
      <c r="C15" s="25" t="s">
        <v>60</v>
      </c>
      <c r="D15" s="58"/>
      <c r="E15" s="59"/>
      <c r="F15" s="58"/>
      <c r="G15" s="59"/>
      <c r="H15" s="58"/>
      <c r="I15" s="59"/>
      <c r="J15" s="58"/>
      <c r="K15" s="59"/>
      <c r="L15" s="58"/>
      <c r="M15" s="59"/>
      <c r="N15" s="58"/>
      <c r="O15" s="59"/>
      <c r="P15" s="58"/>
      <c r="Q15" s="59"/>
      <c r="R15" s="58"/>
      <c r="S15" s="59"/>
      <c r="T15" s="58"/>
      <c r="U15" s="59"/>
      <c r="V15" s="58"/>
      <c r="W15" s="59"/>
      <c r="X15" s="58"/>
      <c r="Y15" s="59"/>
      <c r="Z15" s="58"/>
      <c r="AA15" s="59"/>
    </row>
    <row r="16" spans="3:27" ht="19.899999999999999" customHeight="1" x14ac:dyDescent="0.3">
      <c r="C16" s="24" t="s">
        <v>26</v>
      </c>
      <c r="D16" s="56"/>
      <c r="E16" s="57"/>
      <c r="F16" s="56"/>
      <c r="G16" s="57"/>
      <c r="H16" s="56"/>
      <c r="I16" s="57"/>
      <c r="J16" s="56"/>
      <c r="K16" s="57"/>
      <c r="L16" s="56"/>
      <c r="M16" s="57"/>
      <c r="N16" s="56"/>
      <c r="O16" s="57"/>
      <c r="P16" s="56"/>
      <c r="Q16" s="57"/>
      <c r="R16" s="56"/>
      <c r="S16" s="57"/>
      <c r="T16" s="56"/>
      <c r="U16" s="57"/>
      <c r="V16" s="56"/>
      <c r="W16" s="57"/>
      <c r="X16" s="56"/>
      <c r="Y16" s="57"/>
      <c r="Z16" s="56"/>
      <c r="AA16" s="57"/>
    </row>
    <row r="17" spans="3:27" ht="19.899999999999999" customHeight="1" x14ac:dyDescent="0.3">
      <c r="C17" s="25" t="s">
        <v>27</v>
      </c>
      <c r="D17" s="58"/>
      <c r="E17" s="59"/>
      <c r="F17" s="58"/>
      <c r="G17" s="59"/>
      <c r="H17" s="58"/>
      <c r="I17" s="59"/>
      <c r="J17" s="58"/>
      <c r="K17" s="59"/>
      <c r="L17" s="58"/>
      <c r="M17" s="59"/>
      <c r="N17" s="58"/>
      <c r="O17" s="59"/>
      <c r="P17" s="58"/>
      <c r="Q17" s="59"/>
      <c r="R17" s="58"/>
      <c r="S17" s="59"/>
      <c r="T17" s="58"/>
      <c r="U17" s="59"/>
      <c r="V17" s="58"/>
      <c r="W17" s="59"/>
      <c r="X17" s="58"/>
      <c r="Y17" s="59"/>
      <c r="Z17" s="58"/>
      <c r="AA17" s="59"/>
    </row>
    <row r="18" spans="3:27" ht="19.899999999999999" customHeight="1" x14ac:dyDescent="0.3">
      <c r="C18" s="24" t="s">
        <v>28</v>
      </c>
      <c r="D18" s="56"/>
      <c r="E18" s="57"/>
      <c r="F18" s="56"/>
      <c r="G18" s="57"/>
      <c r="H18" s="56"/>
      <c r="I18" s="57"/>
      <c r="J18" s="56"/>
      <c r="K18" s="57"/>
      <c r="L18" s="56"/>
      <c r="M18" s="57"/>
      <c r="N18" s="56"/>
      <c r="O18" s="57"/>
      <c r="P18" s="56"/>
      <c r="Q18" s="57"/>
      <c r="R18" s="56"/>
      <c r="S18" s="57"/>
      <c r="T18" s="56"/>
      <c r="U18" s="57"/>
      <c r="V18" s="56"/>
      <c r="W18" s="57"/>
      <c r="X18" s="56"/>
      <c r="Y18" s="57"/>
      <c r="Z18" s="56"/>
      <c r="AA18" s="57"/>
    </row>
    <row r="19" spans="3:27" ht="19.899999999999999" customHeight="1" x14ac:dyDescent="0.3">
      <c r="C19" s="25" t="s">
        <v>29</v>
      </c>
      <c r="D19" s="58"/>
      <c r="E19" s="59"/>
      <c r="F19" s="58"/>
      <c r="G19" s="59"/>
      <c r="H19" s="58"/>
      <c r="I19" s="59"/>
      <c r="J19" s="58"/>
      <c r="K19" s="59"/>
      <c r="L19" s="58"/>
      <c r="M19" s="59"/>
      <c r="N19" s="58"/>
      <c r="O19" s="59"/>
      <c r="P19" s="58"/>
      <c r="Q19" s="59"/>
      <c r="R19" s="58"/>
      <c r="S19" s="59"/>
      <c r="T19" s="58"/>
      <c r="U19" s="59"/>
      <c r="V19" s="58"/>
      <c r="W19" s="59"/>
      <c r="X19" s="58"/>
      <c r="Y19" s="59"/>
      <c r="Z19" s="58"/>
      <c r="AA19" s="59"/>
    </row>
    <row r="20" spans="3:27" ht="19.899999999999999" customHeight="1" x14ac:dyDescent="0.3">
      <c r="C20" s="24" t="s">
        <v>30</v>
      </c>
      <c r="D20" s="56"/>
      <c r="E20" s="57"/>
      <c r="F20" s="56"/>
      <c r="G20" s="57"/>
      <c r="H20" s="56"/>
      <c r="I20" s="57"/>
      <c r="J20" s="56"/>
      <c r="K20" s="57"/>
      <c r="L20" s="56"/>
      <c r="M20" s="57"/>
      <c r="N20" s="56"/>
      <c r="O20" s="57"/>
      <c r="P20" s="56"/>
      <c r="Q20" s="57"/>
      <c r="R20" s="56"/>
      <c r="S20" s="57"/>
      <c r="T20" s="56"/>
      <c r="U20" s="57"/>
      <c r="V20" s="56"/>
      <c r="W20" s="57"/>
      <c r="X20" s="56"/>
      <c r="Y20" s="57"/>
      <c r="Z20" s="56"/>
      <c r="AA20" s="57"/>
    </row>
    <row r="21" spans="3:27" ht="19.899999999999999" customHeight="1" x14ac:dyDescent="0.3">
      <c r="C21" s="25" t="s">
        <v>19</v>
      </c>
      <c r="D21" s="58"/>
      <c r="E21" s="59"/>
      <c r="F21" s="58"/>
      <c r="G21" s="59"/>
      <c r="H21" s="58"/>
      <c r="I21" s="59"/>
      <c r="J21" s="58"/>
      <c r="K21" s="59"/>
      <c r="L21" s="58"/>
      <c r="M21" s="59"/>
      <c r="N21" s="58"/>
      <c r="O21" s="59"/>
      <c r="P21" s="58"/>
      <c r="Q21" s="59"/>
      <c r="R21" s="58"/>
      <c r="S21" s="59"/>
      <c r="T21" s="58"/>
      <c r="U21" s="59"/>
      <c r="V21" s="58"/>
      <c r="W21" s="59"/>
      <c r="X21" s="58"/>
      <c r="Y21" s="59"/>
      <c r="Z21" s="58"/>
      <c r="AA21" s="59"/>
    </row>
    <row r="22" spans="3:27" ht="19.899999999999999" customHeight="1" x14ac:dyDescent="0.3">
      <c r="C22" s="24" t="s">
        <v>19</v>
      </c>
      <c r="D22" s="56"/>
      <c r="E22" s="57"/>
      <c r="F22" s="56"/>
      <c r="G22" s="57"/>
      <c r="H22" s="56"/>
      <c r="I22" s="57"/>
      <c r="J22" s="56"/>
      <c r="K22" s="57"/>
      <c r="L22" s="56"/>
      <c r="M22" s="57"/>
      <c r="N22" s="56"/>
      <c r="O22" s="57"/>
      <c r="P22" s="56"/>
      <c r="Q22" s="57"/>
      <c r="R22" s="56"/>
      <c r="S22" s="57"/>
      <c r="T22" s="56"/>
      <c r="U22" s="57"/>
      <c r="V22" s="56"/>
      <c r="W22" s="57"/>
      <c r="X22" s="56"/>
      <c r="Y22" s="57"/>
      <c r="Z22" s="56"/>
      <c r="AA22" s="57"/>
    </row>
    <row r="23" spans="3:27" ht="19.899999999999999" customHeight="1" x14ac:dyDescent="0.3">
      <c r="C23" s="25" t="s">
        <v>19</v>
      </c>
      <c r="D23" s="66"/>
      <c r="E23" s="67"/>
      <c r="F23" s="66"/>
      <c r="G23" s="67"/>
      <c r="H23" s="66"/>
      <c r="I23" s="67"/>
      <c r="J23" s="66"/>
      <c r="K23" s="67"/>
      <c r="L23" s="66"/>
      <c r="M23" s="67"/>
      <c r="N23" s="66"/>
      <c r="O23" s="67"/>
      <c r="P23" s="66"/>
      <c r="Q23" s="67"/>
      <c r="R23" s="66"/>
      <c r="S23" s="67"/>
      <c r="T23" s="66"/>
      <c r="U23" s="67"/>
      <c r="V23" s="66"/>
      <c r="W23" s="67"/>
      <c r="X23" s="66"/>
      <c r="Y23" s="67"/>
      <c r="Z23" s="66"/>
      <c r="AA23" s="67"/>
    </row>
    <row r="24" spans="3:27" ht="19.899999999999999" customHeight="1" x14ac:dyDescent="0.3">
      <c r="C24" s="65" t="s">
        <v>19</v>
      </c>
      <c r="D24" s="56"/>
      <c r="E24" s="57"/>
      <c r="F24" s="56"/>
      <c r="G24" s="57"/>
      <c r="H24" s="56"/>
      <c r="I24" s="57"/>
      <c r="J24" s="56"/>
      <c r="K24" s="57"/>
      <c r="L24" s="56"/>
      <c r="M24" s="57"/>
      <c r="N24" s="56"/>
      <c r="O24" s="57"/>
      <c r="P24" s="56"/>
      <c r="Q24" s="57"/>
      <c r="R24" s="56"/>
      <c r="S24" s="57"/>
      <c r="T24" s="56"/>
      <c r="U24" s="57"/>
      <c r="V24" s="56"/>
      <c r="W24" s="57"/>
      <c r="X24" s="56"/>
      <c r="Y24" s="57"/>
      <c r="Z24" s="56"/>
      <c r="AA24" s="57"/>
    </row>
    <row r="25" spans="3:27" ht="19.899999999999999" customHeight="1" x14ac:dyDescent="0.3">
      <c r="C25" s="25" t="s">
        <v>19</v>
      </c>
      <c r="D25" s="66"/>
      <c r="E25" s="67"/>
      <c r="F25" s="66"/>
      <c r="G25" s="67"/>
      <c r="H25" s="66"/>
      <c r="I25" s="67"/>
      <c r="J25" s="66"/>
      <c r="K25" s="67"/>
      <c r="L25" s="66"/>
      <c r="M25" s="67"/>
      <c r="N25" s="66"/>
      <c r="O25" s="67"/>
      <c r="P25" s="66"/>
      <c r="Q25" s="67"/>
      <c r="R25" s="66"/>
      <c r="S25" s="67"/>
      <c r="T25" s="66"/>
      <c r="U25" s="67"/>
      <c r="V25" s="66"/>
      <c r="W25" s="67"/>
      <c r="X25" s="66"/>
      <c r="Y25" s="67"/>
      <c r="Z25" s="66"/>
      <c r="AA25" s="67"/>
    </row>
    <row r="26" spans="3:27" ht="19.899999999999999" customHeight="1" x14ac:dyDescent="0.3">
      <c r="C26" s="65" t="s">
        <v>19</v>
      </c>
      <c r="D26" s="56"/>
      <c r="E26" s="57"/>
      <c r="F26" s="56"/>
      <c r="G26" s="57"/>
      <c r="H26" s="56"/>
      <c r="I26" s="57"/>
      <c r="J26" s="56"/>
      <c r="K26" s="57"/>
      <c r="L26" s="56"/>
      <c r="M26" s="57"/>
      <c r="N26" s="56"/>
      <c r="O26" s="57"/>
      <c r="P26" s="56"/>
      <c r="Q26" s="57"/>
      <c r="R26" s="56"/>
      <c r="S26" s="57"/>
      <c r="T26" s="56"/>
      <c r="U26" s="57"/>
      <c r="V26" s="56"/>
      <c r="W26" s="57"/>
      <c r="X26" s="56"/>
      <c r="Y26" s="57"/>
      <c r="Z26" s="56"/>
      <c r="AA26" s="57"/>
    </row>
    <row r="27" spans="3:27" ht="19.899999999999999" customHeight="1" x14ac:dyDescent="0.3">
      <c r="C27" s="25" t="s">
        <v>19</v>
      </c>
      <c r="D27" s="66"/>
      <c r="E27" s="67"/>
      <c r="F27" s="66"/>
      <c r="G27" s="67"/>
      <c r="H27" s="66"/>
      <c r="I27" s="67"/>
      <c r="J27" s="66"/>
      <c r="K27" s="67"/>
      <c r="L27" s="66"/>
      <c r="M27" s="67"/>
      <c r="N27" s="66"/>
      <c r="O27" s="67"/>
      <c r="P27" s="66"/>
      <c r="Q27" s="67"/>
      <c r="R27" s="66"/>
      <c r="S27" s="67"/>
      <c r="T27" s="66"/>
      <c r="U27" s="67"/>
      <c r="V27" s="66"/>
      <c r="W27" s="67"/>
      <c r="X27" s="66"/>
      <c r="Y27" s="67"/>
      <c r="Z27" s="66"/>
      <c r="AA27" s="67"/>
    </row>
    <row r="28" spans="3:27" ht="19.899999999999999" customHeight="1" x14ac:dyDescent="0.3">
      <c r="C28" s="65" t="s">
        <v>19</v>
      </c>
      <c r="D28" s="56"/>
      <c r="E28" s="57"/>
      <c r="F28" s="56"/>
      <c r="G28" s="57"/>
      <c r="H28" s="56"/>
      <c r="I28" s="57"/>
      <c r="J28" s="56"/>
      <c r="K28" s="57"/>
      <c r="L28" s="56"/>
      <c r="M28" s="57"/>
      <c r="N28" s="56"/>
      <c r="O28" s="57"/>
      <c r="P28" s="56"/>
      <c r="Q28" s="57"/>
      <c r="R28" s="56"/>
      <c r="S28" s="57"/>
      <c r="T28" s="56"/>
      <c r="U28" s="57"/>
      <c r="V28" s="56"/>
      <c r="W28" s="57"/>
      <c r="X28" s="56"/>
      <c r="Y28" s="57"/>
      <c r="Z28" s="56"/>
      <c r="AA28" s="57"/>
    </row>
    <row r="29" spans="3:27" ht="19.899999999999999" customHeight="1" x14ac:dyDescent="0.3">
      <c r="C29" s="25" t="s">
        <v>19</v>
      </c>
      <c r="D29" s="58"/>
      <c r="E29" s="59"/>
      <c r="F29" s="58"/>
      <c r="G29" s="59"/>
      <c r="H29" s="58"/>
      <c r="I29" s="59"/>
      <c r="J29" s="58"/>
      <c r="K29" s="59"/>
      <c r="L29" s="58"/>
      <c r="M29" s="59"/>
      <c r="N29" s="58"/>
      <c r="O29" s="59"/>
      <c r="P29" s="58"/>
      <c r="Q29" s="59"/>
      <c r="R29" s="58"/>
      <c r="S29" s="59"/>
      <c r="T29" s="58"/>
      <c r="U29" s="59"/>
      <c r="V29" s="58"/>
      <c r="W29" s="59"/>
      <c r="X29" s="58"/>
      <c r="Y29" s="59"/>
      <c r="Z29" s="58"/>
      <c r="AA29" s="59"/>
    </row>
    <row r="30" spans="3:27" ht="19.899999999999999" customHeight="1" x14ac:dyDescent="0.3">
      <c r="C30" s="24" t="s">
        <v>19</v>
      </c>
      <c r="D30" s="56"/>
      <c r="E30" s="57"/>
      <c r="F30" s="56"/>
      <c r="G30" s="57"/>
      <c r="H30" s="56"/>
      <c r="I30" s="57"/>
      <c r="J30" s="56"/>
      <c r="K30" s="57"/>
      <c r="L30" s="56"/>
      <c r="M30" s="57"/>
      <c r="N30" s="56"/>
      <c r="O30" s="57"/>
      <c r="P30" s="56"/>
      <c r="Q30" s="57"/>
      <c r="R30" s="56"/>
      <c r="S30" s="57"/>
      <c r="T30" s="56"/>
      <c r="U30" s="57"/>
      <c r="V30" s="56"/>
      <c r="W30" s="57"/>
      <c r="X30" s="56"/>
      <c r="Y30" s="57"/>
      <c r="Z30" s="56"/>
      <c r="AA30" s="57"/>
    </row>
    <row r="31" spans="3:27" ht="19.899999999999999" customHeight="1" x14ac:dyDescent="0.3">
      <c r="C31" s="25" t="s">
        <v>19</v>
      </c>
      <c r="D31" s="58"/>
      <c r="E31" s="59"/>
      <c r="F31" s="58"/>
      <c r="G31" s="59"/>
      <c r="H31" s="58"/>
      <c r="I31" s="59"/>
      <c r="J31" s="58"/>
      <c r="K31" s="59"/>
      <c r="L31" s="58"/>
      <c r="M31" s="59"/>
      <c r="N31" s="58"/>
      <c r="O31" s="59"/>
      <c r="P31" s="58"/>
      <c r="Q31" s="59"/>
      <c r="R31" s="58"/>
      <c r="S31" s="59"/>
      <c r="T31" s="58"/>
      <c r="U31" s="59"/>
      <c r="V31" s="58"/>
      <c r="W31" s="59"/>
      <c r="X31" s="58"/>
      <c r="Y31" s="59"/>
      <c r="Z31" s="58"/>
      <c r="AA31" s="59"/>
    </row>
    <row r="32" spans="3:27" ht="19.899999999999999" customHeight="1" x14ac:dyDescent="0.3">
      <c r="C32" s="24" t="s">
        <v>19</v>
      </c>
      <c r="D32" s="56"/>
      <c r="E32" s="57"/>
      <c r="F32" s="56"/>
      <c r="G32" s="57"/>
      <c r="H32" s="56"/>
      <c r="I32" s="57"/>
      <c r="J32" s="56"/>
      <c r="K32" s="57"/>
      <c r="L32" s="56"/>
      <c r="M32" s="57"/>
      <c r="N32" s="56"/>
      <c r="O32" s="57"/>
      <c r="P32" s="56"/>
      <c r="Q32" s="57"/>
      <c r="R32" s="56"/>
      <c r="S32" s="57"/>
      <c r="T32" s="56"/>
      <c r="U32" s="57"/>
      <c r="V32" s="56"/>
      <c r="W32" s="57"/>
      <c r="X32" s="56"/>
      <c r="Y32" s="57"/>
      <c r="Z32" s="56"/>
      <c r="AA32" s="57"/>
    </row>
    <row r="33" spans="3:27" ht="19.899999999999999" customHeight="1" x14ac:dyDescent="0.3">
      <c r="C33" s="25" t="s">
        <v>19</v>
      </c>
      <c r="D33" s="58"/>
      <c r="E33" s="59"/>
      <c r="F33" s="58"/>
      <c r="G33" s="59"/>
      <c r="H33" s="58"/>
      <c r="I33" s="59"/>
      <c r="J33" s="58"/>
      <c r="K33" s="59"/>
      <c r="L33" s="58"/>
      <c r="M33" s="59"/>
      <c r="N33" s="58"/>
      <c r="O33" s="59"/>
      <c r="P33" s="58"/>
      <c r="Q33" s="59"/>
      <c r="R33" s="58"/>
      <c r="S33" s="59"/>
      <c r="T33" s="58"/>
      <c r="U33" s="59"/>
      <c r="V33" s="58"/>
      <c r="W33" s="59"/>
      <c r="X33" s="58"/>
      <c r="Y33" s="59"/>
      <c r="Z33" s="58"/>
      <c r="AA33" s="59"/>
    </row>
    <row r="34" spans="3:27" ht="19.899999999999999" customHeight="1" x14ac:dyDescent="0.3">
      <c r="C34" s="65" t="s">
        <v>19</v>
      </c>
      <c r="D34" s="68"/>
      <c r="E34" s="69"/>
      <c r="F34" s="68"/>
      <c r="G34" s="69"/>
      <c r="H34" s="68"/>
      <c r="I34" s="69"/>
      <c r="J34" s="68"/>
      <c r="K34" s="69"/>
      <c r="L34" s="68"/>
      <c r="M34" s="69"/>
      <c r="N34" s="68"/>
      <c r="O34" s="69"/>
      <c r="P34" s="68"/>
      <c r="Q34" s="69"/>
      <c r="R34" s="68"/>
      <c r="S34" s="69"/>
      <c r="T34" s="68"/>
      <c r="U34" s="69"/>
      <c r="V34" s="68"/>
      <c r="W34" s="69"/>
      <c r="X34" s="68"/>
      <c r="Y34" s="69"/>
      <c r="Z34" s="68"/>
      <c r="AA34" s="69"/>
    </row>
    <row r="35" spans="3:27" ht="19.899999999999999" customHeight="1" x14ac:dyDescent="0.3">
      <c r="C35" s="25" t="s">
        <v>19</v>
      </c>
      <c r="D35" s="58"/>
      <c r="E35" s="59"/>
      <c r="F35" s="58"/>
      <c r="G35" s="59"/>
      <c r="H35" s="58"/>
      <c r="I35" s="59"/>
      <c r="J35" s="58"/>
      <c r="K35" s="59"/>
      <c r="L35" s="58"/>
      <c r="M35" s="59"/>
      <c r="N35" s="58"/>
      <c r="O35" s="59"/>
      <c r="P35" s="58"/>
      <c r="Q35" s="59"/>
      <c r="R35" s="58"/>
      <c r="S35" s="59"/>
      <c r="T35" s="58"/>
      <c r="U35" s="59"/>
      <c r="V35" s="58"/>
      <c r="W35" s="59"/>
      <c r="X35" s="58"/>
      <c r="Y35" s="59"/>
      <c r="Z35" s="58"/>
      <c r="AA35" s="59"/>
    </row>
    <row r="36" spans="3:27" ht="19.899999999999999" customHeight="1" x14ac:dyDescent="0.3">
      <c r="C36" s="24" t="s">
        <v>19</v>
      </c>
      <c r="D36" s="56"/>
      <c r="E36" s="57"/>
      <c r="F36" s="56"/>
      <c r="G36" s="57"/>
      <c r="H36" s="56"/>
      <c r="I36" s="57"/>
      <c r="J36" s="56"/>
      <c r="K36" s="57"/>
      <c r="L36" s="56"/>
      <c r="M36" s="57"/>
      <c r="N36" s="56"/>
      <c r="O36" s="57"/>
      <c r="P36" s="56"/>
      <c r="Q36" s="57"/>
      <c r="R36" s="56"/>
      <c r="S36" s="57"/>
      <c r="T36" s="56"/>
      <c r="U36" s="57"/>
      <c r="V36" s="56"/>
      <c r="W36" s="57"/>
      <c r="X36" s="56"/>
      <c r="Y36" s="57"/>
      <c r="Z36" s="56"/>
      <c r="AA36" s="57"/>
    </row>
    <row r="37" spans="3:27" ht="19.899999999999999" customHeight="1" thickBot="1" x14ac:dyDescent="0.35">
      <c r="C37" s="26" t="s">
        <v>19</v>
      </c>
      <c r="D37" s="63"/>
      <c r="E37" s="64"/>
      <c r="F37" s="63"/>
      <c r="G37" s="64"/>
      <c r="H37" s="63"/>
      <c r="I37" s="64"/>
      <c r="J37" s="63"/>
      <c r="K37" s="64"/>
      <c r="L37" s="63"/>
      <c r="M37" s="64"/>
      <c r="N37" s="63"/>
      <c r="O37" s="64"/>
      <c r="P37" s="63"/>
      <c r="Q37" s="64"/>
      <c r="R37" s="63"/>
      <c r="S37" s="64"/>
      <c r="T37" s="63"/>
      <c r="U37" s="64"/>
      <c r="V37" s="63"/>
      <c r="W37" s="64"/>
      <c r="X37" s="63"/>
      <c r="Y37" s="64"/>
      <c r="Z37" s="63"/>
      <c r="AA37" s="64"/>
    </row>
    <row r="38" spans="3:27" s="17" customFormat="1" ht="30" customHeight="1" x14ac:dyDescent="0.25">
      <c r="C38" s="96" t="s">
        <v>5</v>
      </c>
      <c r="D38" s="97">
        <f t="shared" ref="D38:AA38" si="0">SUM(D6:D37)</f>
        <v>0</v>
      </c>
      <c r="E38" s="98">
        <f t="shared" si="0"/>
        <v>0</v>
      </c>
      <c r="F38" s="97">
        <f t="shared" si="0"/>
        <v>0</v>
      </c>
      <c r="G38" s="98">
        <f t="shared" si="0"/>
        <v>0</v>
      </c>
      <c r="H38" s="97">
        <f t="shared" si="0"/>
        <v>0</v>
      </c>
      <c r="I38" s="98">
        <f t="shared" si="0"/>
        <v>0</v>
      </c>
      <c r="J38" s="97">
        <f t="shared" si="0"/>
        <v>0</v>
      </c>
      <c r="K38" s="98">
        <f t="shared" si="0"/>
        <v>0</v>
      </c>
      <c r="L38" s="97">
        <f t="shared" si="0"/>
        <v>0</v>
      </c>
      <c r="M38" s="98">
        <f t="shared" si="0"/>
        <v>0</v>
      </c>
      <c r="N38" s="97">
        <f t="shared" si="0"/>
        <v>0</v>
      </c>
      <c r="O38" s="98">
        <f t="shared" si="0"/>
        <v>0</v>
      </c>
      <c r="P38" s="97">
        <f t="shared" si="0"/>
        <v>0</v>
      </c>
      <c r="Q38" s="98">
        <f t="shared" si="0"/>
        <v>0</v>
      </c>
      <c r="R38" s="97">
        <f t="shared" si="0"/>
        <v>0</v>
      </c>
      <c r="S38" s="98">
        <f t="shared" si="0"/>
        <v>0</v>
      </c>
      <c r="T38" s="97">
        <f t="shared" si="0"/>
        <v>0</v>
      </c>
      <c r="U38" s="98">
        <f t="shared" si="0"/>
        <v>0</v>
      </c>
      <c r="V38" s="97">
        <f t="shared" si="0"/>
        <v>0</v>
      </c>
      <c r="W38" s="98">
        <f t="shared" si="0"/>
        <v>0</v>
      </c>
      <c r="X38" s="97">
        <f t="shared" si="0"/>
        <v>0</v>
      </c>
      <c r="Y38" s="98">
        <f t="shared" si="0"/>
        <v>0</v>
      </c>
      <c r="Z38" s="97">
        <f t="shared" si="0"/>
        <v>0</v>
      </c>
      <c r="AA38" s="98">
        <f t="shared" si="0"/>
        <v>0</v>
      </c>
    </row>
    <row r="39" spans="3:27" x14ac:dyDescent="0.25"/>
    <row r="40" spans="3:27" x14ac:dyDescent="0.25"/>
  </sheetData>
  <sheetProtection algorithmName="SHA-512" hashValue="1d4zcWu/8qcsfjXQnCFwIHQm+sowy96B5Q1eZlGZnAr19C6SkmYPtHWloYEQRUwbQclowKXvgSAFxi6fIDCHWA==" saltValue="cTelneeiP2Qyq2YgdcPXfQ==" spinCount="100000" sheet="1" objects="1" scenarios="1"/>
  <mergeCells count="12">
    <mergeCell ref="Z3:AA3"/>
    <mergeCell ref="D3:E3"/>
    <mergeCell ref="F3:G3"/>
    <mergeCell ref="H3:I3"/>
    <mergeCell ref="J3:K3"/>
    <mergeCell ref="L3:M3"/>
    <mergeCell ref="N3:O3"/>
    <mergeCell ref="P3:Q3"/>
    <mergeCell ref="R3:S3"/>
    <mergeCell ref="T3:U3"/>
    <mergeCell ref="V3:W3"/>
    <mergeCell ref="X3:Y3"/>
  </mergeCells>
  <phoneticPr fontId="5"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F42DE-0580-43FD-9C51-6120C3001EC9}">
  <sheetPr codeName="Arkusz3">
    <tabColor rgb="FF153462"/>
  </sheetPr>
  <dimension ref="A1:BA25"/>
  <sheetViews>
    <sheetView zoomScale="85" zoomScaleNormal="85" workbookViewId="0">
      <selection activeCell="I16" sqref="I16"/>
    </sheetView>
  </sheetViews>
  <sheetFormatPr defaultColWidth="0" defaultRowHeight="15" zeroHeight="1" x14ac:dyDescent="0.25"/>
  <cols>
    <col min="1" max="1" width="14.140625" style="1" customWidth="1"/>
    <col min="2" max="2" width="17.85546875" style="1" customWidth="1"/>
    <col min="3" max="3" width="10.28515625" style="1" customWidth="1"/>
    <col min="4" max="4" width="14.7109375" style="1" hidden="1" customWidth="1"/>
    <col min="5" max="5" width="21" style="1" customWidth="1"/>
    <col min="6" max="6" width="19" style="1" customWidth="1"/>
    <col min="7" max="7" width="24.42578125" style="1" customWidth="1"/>
    <col min="8" max="8" width="21.5703125" style="1" customWidth="1"/>
    <col min="9" max="11" width="26.28515625" style="1" customWidth="1"/>
    <col min="12" max="14" width="8.85546875" style="1" customWidth="1"/>
    <col min="15" max="27" width="8.85546875" style="1" hidden="1"/>
    <col min="28" max="28" width="17.7109375" style="1" hidden="1"/>
    <col min="29" max="29" width="13.140625" style="1" hidden="1"/>
    <col min="30" max="30" width="12.7109375" style="1" hidden="1"/>
    <col min="31" max="43" width="12.42578125" style="1" hidden="1"/>
    <col min="44" max="44" width="14.28515625" style="1" hidden="1"/>
    <col min="45" max="16384" width="8.85546875" style="1" hidden="1"/>
  </cols>
  <sheetData>
    <row r="1" spans="1:53" ht="21" x14ac:dyDescent="0.35">
      <c r="A1" s="99" t="s">
        <v>41</v>
      </c>
      <c r="B1" s="100">
        <v>0.19</v>
      </c>
      <c r="C1" s="23"/>
      <c r="D1" s="23"/>
      <c r="E1" s="3"/>
    </row>
    <row r="2" spans="1:53" ht="15.75" thickBot="1" x14ac:dyDescent="0.3">
      <c r="A2" s="9"/>
      <c r="B2" s="3"/>
      <c r="C2" s="3"/>
      <c r="D2" s="3"/>
      <c r="E2" s="3"/>
    </row>
    <row r="3" spans="1:53" s="27" customFormat="1" ht="34.9" customHeight="1" x14ac:dyDescent="0.25">
      <c r="B3" s="101" t="s">
        <v>18</v>
      </c>
      <c r="C3" s="102" t="s">
        <v>107</v>
      </c>
      <c r="D3" s="102"/>
      <c r="E3" s="103" t="s">
        <v>42</v>
      </c>
      <c r="F3" s="160" t="str">
        <f ca="1">Auto_1!J1</f>
        <v>Auto_1</v>
      </c>
      <c r="G3" s="101" t="s">
        <v>38</v>
      </c>
      <c r="H3" s="104" t="s">
        <v>109</v>
      </c>
      <c r="I3" s="104" t="s">
        <v>39</v>
      </c>
      <c r="J3" s="103" t="s">
        <v>41</v>
      </c>
      <c r="K3" s="105" t="s">
        <v>40</v>
      </c>
    </row>
    <row r="4" spans="1:53" s="4" customFormat="1" ht="33" hidden="1" customHeight="1" x14ac:dyDescent="0.25">
      <c r="B4" s="4" t="s">
        <v>18</v>
      </c>
      <c r="C4" s="4" t="s">
        <v>103</v>
      </c>
      <c r="D4" s="4" t="s">
        <v>108</v>
      </c>
      <c r="E4" s="4" t="s">
        <v>42</v>
      </c>
      <c r="F4" s="161" t="s">
        <v>83</v>
      </c>
      <c r="G4" s="4" t="s">
        <v>38</v>
      </c>
      <c r="H4" s="6" t="s">
        <v>44</v>
      </c>
      <c r="I4" s="4" t="s">
        <v>39</v>
      </c>
      <c r="J4" s="4" t="s">
        <v>41</v>
      </c>
      <c r="K4" s="15" t="s">
        <v>40</v>
      </c>
    </row>
    <row r="5" spans="1:53" s="107" customFormat="1" ht="21" customHeight="1" x14ac:dyDescent="0.35">
      <c r="B5" s="108" t="s">
        <v>6</v>
      </c>
      <c r="C5" s="108">
        <v>2023</v>
      </c>
      <c r="D5" s="108" t="str">
        <f>Tabela180[[#This Row],[Miesiąc]]&amp;" "&amp;Tabela180[[#This Row],[Kolumna1]]</f>
        <v>Styczeń 2023</v>
      </c>
      <c r="E5" s="106">
        <v>4</v>
      </c>
      <c r="F5" s="162">
        <f>IFERROR(IF(Auto_1!$B$2="EUR(€)",VLOOKUP(D5,Auto_1!$A$6:$C$17,3,FALSE)*VLOOKUP(D5,$D$5:$E$16,2,FALSE)-VLOOKUP(D5,Auto_1!$A$6:$E$17,5,FALSE),VLOOKUP(D5,Auto_1!$A$6:$C$17,3,FALSE)-VLOOKUP(D5,Auto_1!$A$6:$E$17,5,FALSE)),0)</f>
        <v>0</v>
      </c>
      <c r="G5" s="109">
        <f>('Koszty Firmy'!D$38*Tabela180[[#This Row],[Średni kurs '[€/PLN']]])+'Koszty Firmy'!E$38</f>
        <v>0</v>
      </c>
      <c r="H5" s="110"/>
      <c r="I5" s="109">
        <f>F5-Tabela180[[#This Row],[Koszty Firmy]]+(Tabela180[[#This Row],[ZWROT VAT]]*Tabela180[[#This Row],[Średni kurs '[€/PLN']]])</f>
        <v>0</v>
      </c>
      <c r="J5" s="109">
        <f>IF(I5&lt;0,0,I5*$B$1)</f>
        <v>0</v>
      </c>
      <c r="K5" s="111">
        <f>Tabela180[[#This Row],[Zysk]]-Tabela180[[#This Row],[Podatek]]</f>
        <v>0</v>
      </c>
      <c r="T5" s="112">
        <v>0.09</v>
      </c>
      <c r="V5" s="107" t="s">
        <v>6</v>
      </c>
      <c r="W5" s="107">
        <v>2023</v>
      </c>
      <c r="X5" s="107" t="s">
        <v>87</v>
      </c>
      <c r="AC5" s="107" t="str">
        <f ca="1">Auto_1!J1</f>
        <v>Auto_1</v>
      </c>
      <c r="AD5" s="107" t="e">
        <f>#REF!</f>
        <v>#REF!</v>
      </c>
      <c r="AE5" s="107" t="e">
        <f>#REF!</f>
        <v>#REF!</v>
      </c>
      <c r="AF5" s="107" t="e">
        <f>#REF!</f>
        <v>#REF!</v>
      </c>
      <c r="AG5" s="107" t="e">
        <f>#REF!</f>
        <v>#REF!</v>
      </c>
      <c r="AH5" s="107" t="e">
        <f>#REF!</f>
        <v>#REF!</v>
      </c>
      <c r="AI5" s="107" t="e">
        <f>#REF!</f>
        <v>#REF!</v>
      </c>
      <c r="AJ5" s="107" t="e">
        <f>#REF!</f>
        <v>#REF!</v>
      </c>
      <c r="AK5" s="107" t="e">
        <f>#REF!</f>
        <v>#REF!</v>
      </c>
      <c r="AL5" s="107" t="e">
        <f>#REF!</f>
        <v>#REF!</v>
      </c>
      <c r="AM5" s="107" t="e">
        <f>#REF!</f>
        <v>#REF!</v>
      </c>
      <c r="AN5" s="107" t="e">
        <f>#REF!</f>
        <v>#REF!</v>
      </c>
      <c r="AO5" s="107" t="e">
        <f>#REF!</f>
        <v>#REF!</v>
      </c>
      <c r="AP5" s="107" t="e">
        <f>#REF!</f>
        <v>#REF!</v>
      </c>
      <c r="AQ5" s="107" t="e">
        <f>#REF!</f>
        <v>#REF!</v>
      </c>
      <c r="AR5" s="107" t="s">
        <v>36</v>
      </c>
      <c r="AW5" s="107" t="str">
        <f ca="1">AC5</f>
        <v>Auto_1</v>
      </c>
      <c r="AX5" s="107" t="e">
        <f t="shared" ref="AX5:BA5" si="0">AD5</f>
        <v>#REF!</v>
      </c>
      <c r="AY5" s="107" t="e">
        <f t="shared" si="0"/>
        <v>#REF!</v>
      </c>
      <c r="AZ5" s="107" t="e">
        <f t="shared" si="0"/>
        <v>#REF!</v>
      </c>
      <c r="BA5" s="107" t="e">
        <f t="shared" si="0"/>
        <v>#REF!</v>
      </c>
    </row>
    <row r="6" spans="1:53" s="107" customFormat="1" ht="21" customHeight="1" x14ac:dyDescent="0.35">
      <c r="B6" s="163" t="s">
        <v>7</v>
      </c>
      <c r="C6" s="163">
        <v>2023</v>
      </c>
      <c r="D6" s="163" t="str">
        <f>Tabela180[[#This Row],[Miesiąc]]&amp;" "&amp;Tabela180[[#This Row],[Kolumna1]]</f>
        <v>Luty 2023</v>
      </c>
      <c r="E6" s="164">
        <v>4.5599999999999996</v>
      </c>
      <c r="F6" s="165">
        <f>IFERROR(IF(Auto_1!$B$2="EUR(€)",VLOOKUP(D6,Auto_1!$A$6:$C$17,3,FALSE)*VLOOKUP(D6,$D$5:$E$16,2,FALSE)-VLOOKUP(D6,Auto_1!$A$6:$E$17,5,FALSE),VLOOKUP(D6,Auto_1!$A$6:$C$17,3,FALSE)-VLOOKUP(D6,Auto_1!$A$6:$E$17,5,FALSE)),0)</f>
        <v>0</v>
      </c>
      <c r="G6" s="166">
        <f>('Koszty Firmy'!F$38*Tabela180[[#This Row],[Średni kurs '[€/PLN']]])+'Koszty Firmy'!G$38</f>
        <v>0</v>
      </c>
      <c r="H6" s="167"/>
      <c r="I6" s="166">
        <f>F6-Tabela180[[#This Row],[Koszty Firmy]]+(Tabela180[[#This Row],[ZWROT VAT]]*Tabela180[[#This Row],[Średni kurs '[€/PLN']]])</f>
        <v>0</v>
      </c>
      <c r="J6" s="166">
        <f t="shared" ref="J6:J16" si="1">IF(I6&lt;0,0,I6*$B$1)</f>
        <v>0</v>
      </c>
      <c r="K6" s="168">
        <f>Tabela180[[#This Row],[Zysk]]-Tabela180[[#This Row],[Podatek]]</f>
        <v>0</v>
      </c>
      <c r="T6" s="112">
        <v>0.12</v>
      </c>
      <c r="V6" s="107" t="s">
        <v>7</v>
      </c>
      <c r="W6" s="107">
        <v>2024</v>
      </c>
      <c r="X6" s="107" t="s">
        <v>88</v>
      </c>
      <c r="AB6" s="107" t="str">
        <f>D5</f>
        <v>Styczeń 2023</v>
      </c>
      <c r="AC6" s="113">
        <f>IFERROR(VLOOKUP(AB6,Auto_1!$A$6:$C$17,3,FALSE),0)</f>
        <v>0</v>
      </c>
      <c r="AD6" s="113">
        <f>IFERROR(VLOOKUP(AB6,#REF!,3,FALSE),0)</f>
        <v>0</v>
      </c>
      <c r="AE6" s="113">
        <f>IFERROR(VLOOKUP(AB6,#REF!,3,FALSE),0)</f>
        <v>0</v>
      </c>
      <c r="AF6" s="113">
        <f>IFERROR(VLOOKUP(AB6,#REF!,3,FALSE),0)</f>
        <v>0</v>
      </c>
      <c r="AG6" s="113">
        <f>IFERROR(VLOOKUP(AB6,#REF!,3,FALSE),0)</f>
        <v>0</v>
      </c>
      <c r="AH6" s="113">
        <f>IFERROR(VLOOKUP(AB6,#REF!,3,FALSE),0)</f>
        <v>0</v>
      </c>
      <c r="AI6" s="113">
        <f>IFERROR(VLOOKUP(AB6,#REF!,3,FALSE),0)</f>
        <v>0</v>
      </c>
      <c r="AJ6" s="113">
        <f>IFERROR(VLOOKUP(AB6,#REF!,3,FALSE),0)</f>
        <v>0</v>
      </c>
      <c r="AK6" s="113">
        <f>IFERROR(VLOOKUP(AB6,#REF!,3,FALSE),0)</f>
        <v>0</v>
      </c>
      <c r="AL6" s="113">
        <f>IFERROR(VLOOKUP(AB6,#REF!,3,FALSE),0)</f>
        <v>0</v>
      </c>
      <c r="AM6" s="113">
        <f>IFERROR(VLOOKUP(AB6,#REF!,3,FALSE),0)</f>
        <v>0</v>
      </c>
      <c r="AN6" s="113">
        <f>IFERROR(VLOOKUP(AB6,#REF!,3,FALSE),0)</f>
        <v>0</v>
      </c>
      <c r="AO6" s="113">
        <f>IFERROR(VLOOKUP(AB6,#REF!,3,FALSE),0)</f>
        <v>0</v>
      </c>
      <c r="AP6" s="113">
        <f>IFERROR(VLOOKUP(AB6,#REF!,3,FALSE),0)</f>
        <v>0</v>
      </c>
      <c r="AQ6" s="113">
        <f>IFERROR(VLOOKUP(AB6,#REF!,3,FALSE),0)</f>
        <v>0</v>
      </c>
      <c r="AR6" s="113">
        <f>SUM(AC6:AQ6)</f>
        <v>0</v>
      </c>
      <c r="AV6" s="107" t="str">
        <f>AB6</f>
        <v>Styczeń 2023</v>
      </c>
      <c r="AW6" s="113" t="e">
        <f>Auto_1!#REF!</f>
        <v>#REF!</v>
      </c>
      <c r="AX6" s="113" t="e">
        <f>Auto_1!#REF!</f>
        <v>#REF!</v>
      </c>
      <c r="AY6" s="113" t="e">
        <f>Auto_1!#REF!</f>
        <v>#REF!</v>
      </c>
      <c r="AZ6" s="113" t="e">
        <f>Auto_1!#REF!</f>
        <v>#REF!</v>
      </c>
      <c r="BA6" s="113" t="e">
        <f>Auto_1!#REF!</f>
        <v>#REF!</v>
      </c>
    </row>
    <row r="7" spans="1:53" s="107" customFormat="1" ht="21" customHeight="1" x14ac:dyDescent="0.35">
      <c r="B7" s="108" t="s">
        <v>8</v>
      </c>
      <c r="C7" s="108">
        <v>2023</v>
      </c>
      <c r="D7" s="108" t="str">
        <f>Tabela180[[#This Row],[Miesiąc]]&amp;" "&amp;Tabela180[[#This Row],[Kolumna1]]</f>
        <v>Marzec 2023</v>
      </c>
      <c r="E7" s="106">
        <v>4.43</v>
      </c>
      <c r="F7" s="162">
        <f>IFERROR(IF(Auto_1!$B$2="EUR(€)",VLOOKUP(D7,Auto_1!$A$6:$C$17,3,FALSE)*VLOOKUP(D7,$D$5:$E$16,2,FALSE)-VLOOKUP(D7,Auto_1!$A$6:$E$17,5,FALSE),VLOOKUP(D7,Auto_1!$A$6:$C$17,3,FALSE)-VLOOKUP(D7,Auto_1!$A$6:$E$17,5,FALSE)),0)</f>
        <v>0</v>
      </c>
      <c r="G7" s="109">
        <f>('Koszty Firmy'!H$38*Tabela180[[#This Row],[Średni kurs '[€/PLN']]])+'Koszty Firmy'!I$38</f>
        <v>0</v>
      </c>
      <c r="H7" s="110"/>
      <c r="I7" s="109">
        <f>F7-Tabela180[[#This Row],[Koszty Firmy]]+(Tabela180[[#This Row],[ZWROT VAT]]*Tabela180[[#This Row],[Średni kurs '[€/PLN']]])</f>
        <v>0</v>
      </c>
      <c r="J7" s="109">
        <f t="shared" si="1"/>
        <v>0</v>
      </c>
      <c r="K7" s="111">
        <f>Tabela180[[#This Row],[Zysk]]-Tabela180[[#This Row],[Podatek]]</f>
        <v>0</v>
      </c>
      <c r="T7" s="112">
        <v>0.17</v>
      </c>
      <c r="V7" s="107" t="s">
        <v>8</v>
      </c>
      <c r="AB7" s="107" t="str">
        <f>D6</f>
        <v>Luty 2023</v>
      </c>
      <c r="AC7" s="113">
        <f>IFERROR(VLOOKUP(AB7,Auto_1!$A$6:$C$17,3,FALSE),0)</f>
        <v>0</v>
      </c>
      <c r="AD7" s="113">
        <f>IFERROR(VLOOKUP(AB7,#REF!,3,FALSE),0)</f>
        <v>0</v>
      </c>
      <c r="AE7" s="113">
        <f>IFERROR(VLOOKUP(AB7,#REF!,3,FALSE),0)</f>
        <v>0</v>
      </c>
      <c r="AF7" s="113">
        <f>IFERROR(VLOOKUP(AB7,#REF!,3,FALSE),0)</f>
        <v>0</v>
      </c>
      <c r="AG7" s="113">
        <f>IFERROR(VLOOKUP(AB7,#REF!,3,FALSE),0)</f>
        <v>0</v>
      </c>
      <c r="AH7" s="113">
        <f>IFERROR(VLOOKUP(AB7,#REF!,3,FALSE),0)</f>
        <v>0</v>
      </c>
      <c r="AI7" s="113">
        <f>IFERROR(VLOOKUP(AB7,#REF!,3,FALSE),0)</f>
        <v>0</v>
      </c>
      <c r="AJ7" s="113">
        <f>IFERROR(VLOOKUP(AB7,#REF!,3,FALSE),0)</f>
        <v>0</v>
      </c>
      <c r="AK7" s="113">
        <f>IFERROR(VLOOKUP(AB7,#REF!,3,FALSE),0)</f>
        <v>0</v>
      </c>
      <c r="AL7" s="113">
        <f>IFERROR(VLOOKUP(AB7,#REF!,3,FALSE),0)</f>
        <v>0</v>
      </c>
      <c r="AM7" s="113">
        <f>IFERROR(VLOOKUP(AB7,#REF!,3,FALSE),0)</f>
        <v>0</v>
      </c>
      <c r="AN7" s="113">
        <f>IFERROR(VLOOKUP(AB7,#REF!,3,FALSE),0)</f>
        <v>0</v>
      </c>
      <c r="AO7" s="113">
        <f>IFERROR(VLOOKUP(AB7,#REF!,3,FALSE),0)</f>
        <v>0</v>
      </c>
      <c r="AP7" s="113">
        <f>IFERROR(VLOOKUP(AB7,#REF!,3,FALSE),0)</f>
        <v>0</v>
      </c>
      <c r="AQ7" s="113">
        <f>IFERROR(VLOOKUP(AB7,#REF!,3,FALSE),0)</f>
        <v>0</v>
      </c>
      <c r="AR7" s="113">
        <f t="shared" ref="AR7:AR16" si="2">SUM(AC7:AQ7)</f>
        <v>0</v>
      </c>
      <c r="AV7" s="107" t="str">
        <f t="shared" ref="AV7:AV17" si="3">AB7</f>
        <v>Luty 2023</v>
      </c>
      <c r="AW7" s="113">
        <f>Auto_1!$R$70</f>
        <v>0</v>
      </c>
      <c r="AX7" s="113">
        <f>Auto_1!$R$70</f>
        <v>0</v>
      </c>
      <c r="AY7" s="113">
        <f>Auto_1!$R$70</f>
        <v>0</v>
      </c>
      <c r="AZ7" s="113">
        <f>Auto_1!$R$70</f>
        <v>0</v>
      </c>
      <c r="BA7" s="113">
        <f>Auto_1!$R$70</f>
        <v>0</v>
      </c>
    </row>
    <row r="8" spans="1:53" s="107" customFormat="1" ht="21" customHeight="1" x14ac:dyDescent="0.35">
      <c r="B8" s="163" t="s">
        <v>9</v>
      </c>
      <c r="C8" s="163">
        <v>2023</v>
      </c>
      <c r="D8" s="163" t="str">
        <f>Tabela180[[#This Row],[Miesiąc]]&amp;" "&amp;Tabela180[[#This Row],[Kolumna1]]</f>
        <v>Kwiecień 2023</v>
      </c>
      <c r="E8" s="164">
        <v>4.3</v>
      </c>
      <c r="F8" s="165">
        <f>IFERROR(IF(Auto_1!$B$2="EUR(€)",VLOOKUP(D8,Auto_1!$A$6:$C$17,3,FALSE)*VLOOKUP(D8,$D$5:$E$16,2,FALSE)-VLOOKUP(D8,Auto_1!$A$6:$E$17,5,FALSE),VLOOKUP(D8,Auto_1!$A$6:$C$17,3,FALSE)-VLOOKUP(D8,Auto_1!$A$6:$E$17,5,FALSE)),0)</f>
        <v>0</v>
      </c>
      <c r="G8" s="166">
        <f>('Koszty Firmy'!J$38*Tabela180[[#This Row],[Średni kurs '[€/PLN']]])+'Koszty Firmy'!K$38</f>
        <v>0</v>
      </c>
      <c r="H8" s="167"/>
      <c r="I8" s="166">
        <f>F8-Tabela180[[#This Row],[Koszty Firmy]]+(Tabela180[[#This Row],[ZWROT VAT]]*Tabela180[[#This Row],[Średni kurs '[€/PLN']]])</f>
        <v>0</v>
      </c>
      <c r="J8" s="166">
        <f t="shared" si="1"/>
        <v>0</v>
      </c>
      <c r="K8" s="168">
        <f>Tabela180[[#This Row],[Zysk]]-Tabela180[[#This Row],[Podatek]]</f>
        <v>0</v>
      </c>
      <c r="T8" s="114">
        <v>0.19</v>
      </c>
      <c r="V8" s="107" t="s">
        <v>9</v>
      </c>
      <c r="AB8" s="107" t="str">
        <f>D7</f>
        <v>Marzec 2023</v>
      </c>
      <c r="AC8" s="113">
        <f>IFERROR(VLOOKUP(AB8,Auto_1!$A$6:$C$17,3,FALSE),0)</f>
        <v>0</v>
      </c>
      <c r="AD8" s="113">
        <f>IFERROR(VLOOKUP(AB8,#REF!,3,FALSE),0)</f>
        <v>0</v>
      </c>
      <c r="AE8" s="113">
        <f>IFERROR(VLOOKUP(AB8,#REF!,3,FALSE),0)</f>
        <v>0</v>
      </c>
      <c r="AF8" s="113">
        <f>IFERROR(VLOOKUP(AB8,#REF!,3,FALSE),0)</f>
        <v>0</v>
      </c>
      <c r="AG8" s="113">
        <f>IFERROR(VLOOKUP(AB8,#REF!,3,FALSE),0)</f>
        <v>0</v>
      </c>
      <c r="AH8" s="113">
        <f>IFERROR(VLOOKUP(AB8,#REF!,3,FALSE),0)</f>
        <v>0</v>
      </c>
      <c r="AI8" s="113">
        <f>IFERROR(VLOOKUP(AB8,#REF!,3,FALSE),0)</f>
        <v>0</v>
      </c>
      <c r="AJ8" s="113">
        <f>IFERROR(VLOOKUP(AB8,#REF!,3,FALSE),0)</f>
        <v>0</v>
      </c>
      <c r="AK8" s="113">
        <f>IFERROR(VLOOKUP(AB8,#REF!,3,FALSE),0)</f>
        <v>0</v>
      </c>
      <c r="AL8" s="113">
        <f>IFERROR(VLOOKUP(AB8,#REF!,3,FALSE),0)</f>
        <v>0</v>
      </c>
      <c r="AM8" s="113">
        <f>IFERROR(VLOOKUP(AB8,#REF!,3,FALSE),0)</f>
        <v>0</v>
      </c>
      <c r="AN8" s="113">
        <f>IFERROR(VLOOKUP(AB8,#REF!,3,FALSE),0)</f>
        <v>0</v>
      </c>
      <c r="AO8" s="113">
        <f>IFERROR(VLOOKUP(AB8,#REF!,3,FALSE),0)</f>
        <v>0</v>
      </c>
      <c r="AP8" s="113">
        <f>IFERROR(VLOOKUP(AB8,#REF!,3,FALSE),0)</f>
        <v>0</v>
      </c>
      <c r="AQ8" s="113">
        <f>IFERROR(VLOOKUP(AB8,#REF!,3,FALSE),0)</f>
        <v>0</v>
      </c>
      <c r="AR8" s="113">
        <f t="shared" si="2"/>
        <v>0</v>
      </c>
      <c r="AV8" s="107" t="str">
        <f t="shared" si="3"/>
        <v>Marzec 2023</v>
      </c>
      <c r="AW8" s="113">
        <f>Auto_1!$R$109</f>
        <v>0</v>
      </c>
      <c r="AX8" s="113">
        <f>Auto_1!$R$109</f>
        <v>0</v>
      </c>
      <c r="AY8" s="113">
        <f>Auto_1!$R$109</f>
        <v>0</v>
      </c>
      <c r="AZ8" s="113">
        <f>Auto_1!$R$109</f>
        <v>0</v>
      </c>
      <c r="BA8" s="113">
        <f>Auto_1!$R$109</f>
        <v>0</v>
      </c>
    </row>
    <row r="9" spans="1:53" s="107" customFormat="1" ht="21" customHeight="1" x14ac:dyDescent="0.35">
      <c r="B9" s="115" t="s">
        <v>10</v>
      </c>
      <c r="C9" s="108">
        <v>2023</v>
      </c>
      <c r="D9" s="108" t="str">
        <f>Tabela180[[#This Row],[Miesiąc]]&amp;" "&amp;Tabela180[[#This Row],[Kolumna1]]</f>
        <v>Maj 2023</v>
      </c>
      <c r="E9" s="106">
        <v>4.3</v>
      </c>
      <c r="F9" s="162">
        <f>IFERROR(IF(Auto_1!$B$2="EUR(€)",VLOOKUP(D9,Auto_1!$A$6:$C$17,3,FALSE)*VLOOKUP(D9,$D$5:$E$16,2,FALSE)-VLOOKUP(D9,Auto_1!$A$6:$E$17,5,FALSE),VLOOKUP(D9,Auto_1!$A$6:$C$17,3,FALSE)-VLOOKUP(D9,Auto_1!$A$6:$E$17,5,FALSE)),0)</f>
        <v>0</v>
      </c>
      <c r="G9" s="109">
        <f>('Koszty Firmy'!L$38*Tabela180[[#This Row],[Średni kurs '[€/PLN']]])+'Koszty Firmy'!M$38</f>
        <v>0</v>
      </c>
      <c r="H9" s="110"/>
      <c r="I9" s="109">
        <f>F9-Tabela180[[#This Row],[Koszty Firmy]]+(Tabela180[[#This Row],[ZWROT VAT]]*Tabela180[[#This Row],[Średni kurs '[€/PLN']]])</f>
        <v>0</v>
      </c>
      <c r="J9" s="109">
        <f t="shared" si="1"/>
        <v>0</v>
      </c>
      <c r="K9" s="111">
        <f>Tabela180[[#This Row],[Zysk]]-Tabela180[[#This Row],[Podatek]]</f>
        <v>0</v>
      </c>
      <c r="T9" s="114">
        <v>0.32</v>
      </c>
      <c r="V9" s="107" t="s">
        <v>10</v>
      </c>
      <c r="AB9" s="107" t="str">
        <f>D8</f>
        <v>Kwiecień 2023</v>
      </c>
      <c r="AC9" s="113">
        <f>IFERROR(VLOOKUP(AB9,Auto_1!$A$6:$C$17,3,FALSE),0)</f>
        <v>0</v>
      </c>
      <c r="AD9" s="113">
        <f>IFERROR(VLOOKUP(AB9,#REF!,3,FALSE),0)</f>
        <v>0</v>
      </c>
      <c r="AE9" s="113">
        <f>IFERROR(VLOOKUP(AB9,#REF!,3,FALSE),0)</f>
        <v>0</v>
      </c>
      <c r="AF9" s="113">
        <f>IFERROR(VLOOKUP(AB9,#REF!,3,FALSE),0)</f>
        <v>0</v>
      </c>
      <c r="AG9" s="113">
        <f>IFERROR(VLOOKUP(AB9,#REF!,3,FALSE),0)</f>
        <v>0</v>
      </c>
      <c r="AH9" s="113">
        <f>IFERROR(VLOOKUP(AB9,#REF!,3,FALSE),0)</f>
        <v>0</v>
      </c>
      <c r="AI9" s="113">
        <f>IFERROR(VLOOKUP(AB9,#REF!,3,FALSE),0)</f>
        <v>0</v>
      </c>
      <c r="AJ9" s="113">
        <f>IFERROR(VLOOKUP(AB9,#REF!,3,FALSE),0)</f>
        <v>0</v>
      </c>
      <c r="AK9" s="113">
        <f>IFERROR(VLOOKUP(AB9,#REF!,3,FALSE),0)</f>
        <v>0</v>
      </c>
      <c r="AL9" s="113">
        <f>IFERROR(VLOOKUP(AB9,#REF!,3,FALSE),0)</f>
        <v>0</v>
      </c>
      <c r="AM9" s="113">
        <f>IFERROR(VLOOKUP(AB9,#REF!,3,FALSE),0)</f>
        <v>0</v>
      </c>
      <c r="AN9" s="113">
        <f>IFERROR(VLOOKUP(AB9,#REF!,3,FALSE),0)</f>
        <v>0</v>
      </c>
      <c r="AO9" s="113">
        <f>IFERROR(VLOOKUP(AB9,#REF!,3,FALSE),0)</f>
        <v>0</v>
      </c>
      <c r="AP9" s="113">
        <f>IFERROR(VLOOKUP(AB9,#REF!,3,FALSE),0)</f>
        <v>0</v>
      </c>
      <c r="AQ9" s="113">
        <f>IFERROR(VLOOKUP(AB9,#REF!,3,FALSE),0)</f>
        <v>0</v>
      </c>
      <c r="AR9" s="113">
        <f t="shared" si="2"/>
        <v>0</v>
      </c>
      <c r="AV9" s="107" t="str">
        <f t="shared" si="3"/>
        <v>Kwiecień 2023</v>
      </c>
      <c r="AW9" s="113">
        <f>Auto_1!$R$148</f>
        <v>0</v>
      </c>
      <c r="AX9" s="113">
        <f>Auto_1!$R$148</f>
        <v>0</v>
      </c>
      <c r="AY9" s="113">
        <f>Auto_1!$R$148</f>
        <v>0</v>
      </c>
      <c r="AZ9" s="113">
        <f>Auto_1!$R$148</f>
        <v>0</v>
      </c>
      <c r="BA9" s="113">
        <f>Auto_1!$R$148</f>
        <v>0</v>
      </c>
    </row>
    <row r="10" spans="1:53" s="107" customFormat="1" ht="21" customHeight="1" x14ac:dyDescent="0.35">
      <c r="B10" s="163" t="s">
        <v>11</v>
      </c>
      <c r="C10" s="163">
        <v>2023</v>
      </c>
      <c r="D10" s="163" t="str">
        <f>Tabela180[[#This Row],[Miesiąc]]&amp;" "&amp;Tabela180[[#This Row],[Kolumna1]]</f>
        <v>Czerwiec 2023</v>
      </c>
      <c r="E10" s="164">
        <v>4.2</v>
      </c>
      <c r="F10" s="165">
        <f>IFERROR(IF(Auto_1!$B$2="EUR(€)",VLOOKUP(D10,Auto_1!$A$6:$C$17,3,FALSE)*VLOOKUP(D10,$D$5:$E$16,2,FALSE)-VLOOKUP(D10,Auto_1!$A$6:$E$17,5,FALSE),VLOOKUP(D10,Auto_1!$A$6:$C$17,3,FALSE)-VLOOKUP(D10,Auto_1!$A$6:$E$17,5,FALSE)),0)</f>
        <v>0</v>
      </c>
      <c r="G10" s="166">
        <f>('Koszty Firmy'!N$38*Tabela180[[#This Row],[Średni kurs '[€/PLN']]])+'Koszty Firmy'!O$38</f>
        <v>0</v>
      </c>
      <c r="H10" s="167"/>
      <c r="I10" s="166">
        <f>F10-Tabela180[[#This Row],[Koszty Firmy]]+(Tabela180[[#This Row],[ZWROT VAT]]*Tabela180[[#This Row],[Średni kurs '[€/PLN']]])</f>
        <v>0</v>
      </c>
      <c r="J10" s="166">
        <f t="shared" si="1"/>
        <v>0</v>
      </c>
      <c r="K10" s="168">
        <f>Tabela180[[#This Row],[Zysk]]-Tabela180[[#This Row],[Podatek]]</f>
        <v>0</v>
      </c>
      <c r="V10" s="107" t="s">
        <v>11</v>
      </c>
      <c r="AB10" s="107" t="str">
        <f>D9</f>
        <v>Maj 2023</v>
      </c>
      <c r="AC10" s="113">
        <f>IFERROR(VLOOKUP(AB10,Auto_1!$A$6:$C$17,3,FALSE),0)</f>
        <v>0</v>
      </c>
      <c r="AD10" s="113">
        <f>IFERROR(VLOOKUP(AB10,#REF!,3,FALSE),0)</f>
        <v>0</v>
      </c>
      <c r="AE10" s="113">
        <f>IFERROR(VLOOKUP(AB10,#REF!,3,FALSE),0)</f>
        <v>0</v>
      </c>
      <c r="AF10" s="113">
        <f>IFERROR(VLOOKUP(AB10,#REF!,3,FALSE),0)</f>
        <v>0</v>
      </c>
      <c r="AG10" s="113">
        <f>IFERROR(VLOOKUP(AB10,#REF!,3,FALSE),0)</f>
        <v>0</v>
      </c>
      <c r="AH10" s="113">
        <f>IFERROR(VLOOKUP(AB10,#REF!,3,FALSE),0)</f>
        <v>0</v>
      </c>
      <c r="AI10" s="113">
        <f>IFERROR(VLOOKUP(AB10,#REF!,3,FALSE),0)</f>
        <v>0</v>
      </c>
      <c r="AJ10" s="113">
        <f>IFERROR(VLOOKUP(AB10,#REF!,3,FALSE),0)</f>
        <v>0</v>
      </c>
      <c r="AK10" s="113">
        <f>IFERROR(VLOOKUP(AB10,#REF!,3,FALSE),0)</f>
        <v>0</v>
      </c>
      <c r="AL10" s="113">
        <f>IFERROR(VLOOKUP(AB10,#REF!,3,FALSE),0)</f>
        <v>0</v>
      </c>
      <c r="AM10" s="113">
        <f>IFERROR(VLOOKUP(AB10,#REF!,3,FALSE),0)</f>
        <v>0</v>
      </c>
      <c r="AN10" s="113">
        <f>IFERROR(VLOOKUP(AB10,#REF!,3,FALSE),0)</f>
        <v>0</v>
      </c>
      <c r="AO10" s="113">
        <f>IFERROR(VLOOKUP(AB10,#REF!,3,FALSE),0)</f>
        <v>0</v>
      </c>
      <c r="AP10" s="113">
        <f>IFERROR(VLOOKUP(AB10,#REF!,3,FALSE),0)</f>
        <v>0</v>
      </c>
      <c r="AQ10" s="113">
        <f>IFERROR(VLOOKUP(AB10,#REF!,3,FALSE),0)</f>
        <v>0</v>
      </c>
      <c r="AR10" s="113">
        <f t="shared" si="2"/>
        <v>0</v>
      </c>
      <c r="AV10" s="107" t="str">
        <f t="shared" si="3"/>
        <v>Maj 2023</v>
      </c>
      <c r="AW10" s="113">
        <f>Auto_1!$R$187</f>
        <v>0</v>
      </c>
      <c r="AX10" s="113">
        <f>Auto_1!$R$187</f>
        <v>0</v>
      </c>
      <c r="AY10" s="113">
        <f>Auto_1!$R$187</f>
        <v>0</v>
      </c>
      <c r="AZ10" s="113">
        <f>Auto_1!$R$187</f>
        <v>0</v>
      </c>
      <c r="BA10" s="113">
        <f>Auto_1!$R$187</f>
        <v>0</v>
      </c>
    </row>
    <row r="11" spans="1:53" s="107" customFormat="1" ht="21" customHeight="1" x14ac:dyDescent="0.35">
      <c r="B11" s="115" t="s">
        <v>12</v>
      </c>
      <c r="C11" s="108">
        <v>2023</v>
      </c>
      <c r="D11" s="108" t="str">
        <f>Tabela180[[#This Row],[Miesiąc]]&amp;" "&amp;Tabela180[[#This Row],[Kolumna1]]</f>
        <v>Lipiec 2023</v>
      </c>
      <c r="E11" s="106">
        <v>4.32</v>
      </c>
      <c r="F11" s="162">
        <f>IFERROR(IF(Auto_1!$B$2="EUR(€)",VLOOKUP(D11,Auto_1!$A$6:$C$17,3,FALSE)*VLOOKUP(D11,$D$5:$E$16,2,FALSE)-VLOOKUP(D11,Auto_1!$A$6:$E$17,5,FALSE),VLOOKUP(D11,Auto_1!$A$6:$C$17,3,FALSE)-VLOOKUP(D11,Auto_1!$A$6:$E$17,5,FALSE)),0)</f>
        <v>0</v>
      </c>
      <c r="G11" s="109">
        <f>('Koszty Firmy'!P$38*Tabela180[[#This Row],[Średni kurs '[€/PLN']]])+'Koszty Firmy'!Q$38</f>
        <v>0</v>
      </c>
      <c r="H11" s="110"/>
      <c r="I11" s="109">
        <f>F11-Tabela180[[#This Row],[Koszty Firmy]]+(Tabela180[[#This Row],[ZWROT VAT]]*Tabela180[[#This Row],[Średni kurs '[€/PLN']]])</f>
        <v>0</v>
      </c>
      <c r="J11" s="109">
        <f t="shared" si="1"/>
        <v>0</v>
      </c>
      <c r="K11" s="111">
        <f>Tabela180[[#This Row],[Zysk]]-Tabela180[[#This Row],[Podatek]]</f>
        <v>0</v>
      </c>
      <c r="V11" s="107" t="s">
        <v>12</v>
      </c>
      <c r="AB11" s="107" t="str">
        <f>D10</f>
        <v>Czerwiec 2023</v>
      </c>
      <c r="AC11" s="113">
        <f>IFERROR(VLOOKUP(AB11,Auto_1!$A$6:$C$17,3,FALSE),0)</f>
        <v>0</v>
      </c>
      <c r="AD11" s="113">
        <f>IFERROR(VLOOKUP(AB11,#REF!,3,FALSE),0)</f>
        <v>0</v>
      </c>
      <c r="AE11" s="113">
        <f>IFERROR(VLOOKUP(AB11,#REF!,3,FALSE),0)</f>
        <v>0</v>
      </c>
      <c r="AF11" s="113">
        <f>IFERROR(VLOOKUP(AB11,#REF!,3,FALSE),0)</f>
        <v>0</v>
      </c>
      <c r="AG11" s="113">
        <f>IFERROR(VLOOKUP(AB11,#REF!,3,FALSE),0)</f>
        <v>0</v>
      </c>
      <c r="AH11" s="113">
        <f>IFERROR(VLOOKUP(AB11,#REF!,3,FALSE),0)</f>
        <v>0</v>
      </c>
      <c r="AI11" s="113">
        <f>IFERROR(VLOOKUP(AB11,#REF!,3,FALSE),0)</f>
        <v>0</v>
      </c>
      <c r="AJ11" s="113">
        <f>IFERROR(VLOOKUP(AB11,#REF!,3,FALSE),0)</f>
        <v>0</v>
      </c>
      <c r="AK11" s="113">
        <f>IFERROR(VLOOKUP(AB11,#REF!,3,FALSE),0)</f>
        <v>0</v>
      </c>
      <c r="AL11" s="113">
        <f>IFERROR(VLOOKUP(AB11,#REF!,3,FALSE),0)</f>
        <v>0</v>
      </c>
      <c r="AM11" s="113">
        <f>IFERROR(VLOOKUP(AB11,#REF!,3,FALSE),0)</f>
        <v>0</v>
      </c>
      <c r="AN11" s="113">
        <f>IFERROR(VLOOKUP(AB11,#REF!,3,FALSE),0)</f>
        <v>0</v>
      </c>
      <c r="AO11" s="113">
        <f>IFERROR(VLOOKUP(AB11,#REF!,3,FALSE),0)</f>
        <v>0</v>
      </c>
      <c r="AP11" s="113">
        <f>IFERROR(VLOOKUP(AB11,#REF!,3,FALSE),0)</f>
        <v>0</v>
      </c>
      <c r="AQ11" s="113">
        <f>IFERROR(VLOOKUP(AB11,#REF!,3,FALSE),0)</f>
        <v>0</v>
      </c>
      <c r="AR11" s="113">
        <f t="shared" si="2"/>
        <v>0</v>
      </c>
      <c r="AV11" s="107" t="str">
        <f t="shared" si="3"/>
        <v>Czerwiec 2023</v>
      </c>
      <c r="AW11" s="113">
        <f>Auto_1!$R$226</f>
        <v>0</v>
      </c>
      <c r="AX11" s="113">
        <f>Auto_1!$R$226</f>
        <v>0</v>
      </c>
      <c r="AY11" s="113">
        <f>Auto_1!$R$226</f>
        <v>0</v>
      </c>
      <c r="AZ11" s="113">
        <f>Auto_1!$R$226</f>
        <v>0</v>
      </c>
      <c r="BA11" s="113">
        <f>Auto_1!$R$226</f>
        <v>0</v>
      </c>
    </row>
    <row r="12" spans="1:53" s="107" customFormat="1" ht="21" customHeight="1" x14ac:dyDescent="0.35">
      <c r="B12" s="163" t="s">
        <v>13</v>
      </c>
      <c r="C12" s="163">
        <v>2023</v>
      </c>
      <c r="D12" s="163" t="str">
        <f>Tabela180[[#This Row],[Miesiąc]]&amp;" "&amp;Tabela180[[#This Row],[Kolumna1]]</f>
        <v>Sierpień 2023</v>
      </c>
      <c r="E12" s="164">
        <v>4.3</v>
      </c>
      <c r="F12" s="165">
        <f>IFERROR(IF(Auto_1!$B$2="EUR(€)",VLOOKUP(D12,Auto_1!$A$6:$C$17,3,FALSE)*VLOOKUP(D12,$D$5:$E$16,2,FALSE)-VLOOKUP(D12,Auto_1!$A$6:$E$17,5,FALSE),VLOOKUP(D12,Auto_1!$A$6:$C$17,3,FALSE)-VLOOKUP(D12,Auto_1!$A$6:$E$17,5,FALSE)),0)</f>
        <v>0</v>
      </c>
      <c r="G12" s="166">
        <f>('Koszty Firmy'!R$38*Tabela180[[#This Row],[Średni kurs '[€/PLN']]])+'Koszty Firmy'!S$38</f>
        <v>0</v>
      </c>
      <c r="H12" s="167"/>
      <c r="I12" s="166">
        <f>F12-Tabela180[[#This Row],[Koszty Firmy]]+(Tabela180[[#This Row],[ZWROT VAT]]*Tabela180[[#This Row],[Średni kurs '[€/PLN']]])</f>
        <v>0</v>
      </c>
      <c r="J12" s="166">
        <f t="shared" si="1"/>
        <v>0</v>
      </c>
      <c r="K12" s="168">
        <f>Tabela180[[#This Row],[Zysk]]-Tabela180[[#This Row],[Podatek]]</f>
        <v>0</v>
      </c>
      <c r="T12" s="107" t="s">
        <v>112</v>
      </c>
      <c r="V12" s="107" t="s">
        <v>13</v>
      </c>
      <c r="AB12" s="107" t="str">
        <f>D11</f>
        <v>Lipiec 2023</v>
      </c>
      <c r="AC12" s="113">
        <f>IFERROR(VLOOKUP(AB12,Auto_1!$A$6:$C$17,3,FALSE),0)</f>
        <v>0</v>
      </c>
      <c r="AD12" s="113">
        <f>IFERROR(VLOOKUP(AB12,#REF!,3,FALSE),0)</f>
        <v>0</v>
      </c>
      <c r="AE12" s="113">
        <f>IFERROR(VLOOKUP(AB12,#REF!,3,FALSE),0)</f>
        <v>0</v>
      </c>
      <c r="AF12" s="113">
        <f>IFERROR(VLOOKUP(AB12,#REF!,3,FALSE),0)</f>
        <v>0</v>
      </c>
      <c r="AG12" s="113">
        <f>IFERROR(VLOOKUP(AB12,#REF!,3,FALSE),0)</f>
        <v>0</v>
      </c>
      <c r="AH12" s="113">
        <f>IFERROR(VLOOKUP(AB12,#REF!,3,FALSE),0)</f>
        <v>0</v>
      </c>
      <c r="AI12" s="113">
        <f>IFERROR(VLOOKUP(AB12,#REF!,3,FALSE),0)</f>
        <v>0</v>
      </c>
      <c r="AJ12" s="113">
        <f>IFERROR(VLOOKUP(AB12,#REF!,3,FALSE),0)</f>
        <v>0</v>
      </c>
      <c r="AK12" s="113">
        <f>IFERROR(VLOOKUP(AB12,#REF!,3,FALSE),0)</f>
        <v>0</v>
      </c>
      <c r="AL12" s="113">
        <f>IFERROR(VLOOKUP(AB12,#REF!,3,FALSE),0)</f>
        <v>0</v>
      </c>
      <c r="AM12" s="113">
        <f>IFERROR(VLOOKUP(AB12,#REF!,3,FALSE),0)</f>
        <v>0</v>
      </c>
      <c r="AN12" s="113">
        <f>IFERROR(VLOOKUP(AB12,#REF!,3,FALSE),0)</f>
        <v>0</v>
      </c>
      <c r="AO12" s="113">
        <f>IFERROR(VLOOKUP(AB12,#REF!,3,FALSE),0)</f>
        <v>0</v>
      </c>
      <c r="AP12" s="113">
        <f>IFERROR(VLOOKUP(AB12,#REF!,3,FALSE),0)</f>
        <v>0</v>
      </c>
      <c r="AQ12" s="113">
        <f>IFERROR(VLOOKUP(AB12,#REF!,3,FALSE),0)</f>
        <v>0</v>
      </c>
      <c r="AR12" s="113">
        <f t="shared" si="2"/>
        <v>0</v>
      </c>
      <c r="AV12" s="107" t="str">
        <f t="shared" si="3"/>
        <v>Lipiec 2023</v>
      </c>
      <c r="AW12" s="113">
        <f>Auto_1!$R$265</f>
        <v>0</v>
      </c>
      <c r="AX12" s="113">
        <f>Auto_1!$R$265</f>
        <v>0</v>
      </c>
      <c r="AY12" s="113">
        <f>Auto_1!$R$265</f>
        <v>0</v>
      </c>
      <c r="AZ12" s="113">
        <f>Auto_1!$R$265</f>
        <v>0</v>
      </c>
      <c r="BA12" s="113">
        <f>Auto_1!$R$265</f>
        <v>0</v>
      </c>
    </row>
    <row r="13" spans="1:53" s="107" customFormat="1" ht="21" customHeight="1" x14ac:dyDescent="0.35">
      <c r="B13" s="115" t="s">
        <v>14</v>
      </c>
      <c r="C13" s="115">
        <v>2023</v>
      </c>
      <c r="D13" s="108" t="str">
        <f>Tabela180[[#This Row],[Miesiąc]]&amp;" "&amp;Tabela180[[#This Row],[Kolumna1]]</f>
        <v>Wrzesień 2023</v>
      </c>
      <c r="E13" s="106">
        <v>4.3</v>
      </c>
      <c r="F13" s="162">
        <f>IFERROR(IF(Auto_1!$B$2="EUR(€)",VLOOKUP(D13,Auto_1!$A$6:$C$17,3,FALSE)*VLOOKUP(D13,$D$5:$E$16,2,FALSE)-VLOOKUP(D13,Auto_1!$A$6:$E$17,5,FALSE),VLOOKUP(D13,Auto_1!$A$6:$C$17,3,FALSE)-VLOOKUP(D13,Auto_1!$A$6:$E$17,5,FALSE)),0)</f>
        <v>0</v>
      </c>
      <c r="G13" s="109">
        <f>('Koszty Firmy'!T$38*Tabela180[[#This Row],[Średni kurs '[€/PLN']]])+'Koszty Firmy'!U$38</f>
        <v>0</v>
      </c>
      <c r="H13" s="110"/>
      <c r="I13" s="109">
        <f>F13-Tabela180[[#This Row],[Koszty Firmy]]+(Tabela180[[#This Row],[ZWROT VAT]]*Tabela180[[#This Row],[Średni kurs '[€/PLN']]])</f>
        <v>0</v>
      </c>
      <c r="J13" s="109">
        <f t="shared" si="1"/>
        <v>0</v>
      </c>
      <c r="K13" s="111">
        <f>Tabela180[[#This Row],[Zysk]]-Tabela180[[#This Row],[Podatek]]</f>
        <v>0</v>
      </c>
      <c r="T13" s="107" t="s">
        <v>113</v>
      </c>
      <c r="V13" s="107" t="s">
        <v>14</v>
      </c>
      <c r="AB13" s="107" t="str">
        <f>D12</f>
        <v>Sierpień 2023</v>
      </c>
      <c r="AC13" s="113">
        <f>IFERROR(VLOOKUP(AB13,Auto_1!$A$6:$C$17,3,FALSE),0)</f>
        <v>0</v>
      </c>
      <c r="AD13" s="113">
        <f>IFERROR(VLOOKUP(AB13,#REF!,3,FALSE),0)</f>
        <v>0</v>
      </c>
      <c r="AE13" s="113">
        <f>IFERROR(VLOOKUP(AB13,#REF!,3,FALSE),0)</f>
        <v>0</v>
      </c>
      <c r="AF13" s="113">
        <f>IFERROR(VLOOKUP(AB13,#REF!,3,FALSE),0)</f>
        <v>0</v>
      </c>
      <c r="AG13" s="113">
        <f>IFERROR(VLOOKUP(AB13,#REF!,3,FALSE),0)</f>
        <v>0</v>
      </c>
      <c r="AH13" s="113">
        <f>IFERROR(VLOOKUP(AB13,#REF!,3,FALSE),0)</f>
        <v>0</v>
      </c>
      <c r="AI13" s="113">
        <f>IFERROR(VLOOKUP(AB13,#REF!,3,FALSE),0)</f>
        <v>0</v>
      </c>
      <c r="AJ13" s="113">
        <f>IFERROR(VLOOKUP(AB13,#REF!,3,FALSE),0)</f>
        <v>0</v>
      </c>
      <c r="AK13" s="113">
        <f>IFERROR(VLOOKUP(AB13,#REF!,3,FALSE),0)</f>
        <v>0</v>
      </c>
      <c r="AL13" s="113">
        <f>IFERROR(VLOOKUP(AB13,#REF!,3,FALSE),0)</f>
        <v>0</v>
      </c>
      <c r="AM13" s="113">
        <f>IFERROR(VLOOKUP(AB13,#REF!,3,FALSE),0)</f>
        <v>0</v>
      </c>
      <c r="AN13" s="113">
        <f>IFERROR(VLOOKUP(AB13,#REF!,3,FALSE),0)</f>
        <v>0</v>
      </c>
      <c r="AO13" s="113">
        <f>IFERROR(VLOOKUP(AB13,#REF!,3,FALSE),0)</f>
        <v>0</v>
      </c>
      <c r="AP13" s="113">
        <f>IFERROR(VLOOKUP(AB13,#REF!,3,FALSE),0)</f>
        <v>0</v>
      </c>
      <c r="AQ13" s="113">
        <f>IFERROR(VLOOKUP(AB13,#REF!,3,FALSE),0)</f>
        <v>0</v>
      </c>
      <c r="AR13" s="113">
        <f t="shared" si="2"/>
        <v>0</v>
      </c>
      <c r="AV13" s="107" t="str">
        <f t="shared" si="3"/>
        <v>Sierpień 2023</v>
      </c>
      <c r="AW13" s="113">
        <f>Auto_1!$R$304</f>
        <v>0</v>
      </c>
      <c r="AX13" s="113">
        <f>Auto_1!$R$304</f>
        <v>0</v>
      </c>
      <c r="AY13" s="113">
        <f>Auto_1!$R$304</f>
        <v>0</v>
      </c>
      <c r="AZ13" s="113">
        <f>Auto_1!$R$304</f>
        <v>0</v>
      </c>
      <c r="BA13" s="113">
        <f>Auto_1!$R$304</f>
        <v>0</v>
      </c>
    </row>
    <row r="14" spans="1:53" s="107" customFormat="1" ht="21" customHeight="1" x14ac:dyDescent="0.35">
      <c r="B14" s="163" t="s">
        <v>15</v>
      </c>
      <c r="C14" s="163">
        <v>2023</v>
      </c>
      <c r="D14" s="163" t="str">
        <f>Tabela180[[#This Row],[Miesiąc]]&amp;" "&amp;Tabela180[[#This Row],[Kolumna1]]</f>
        <v>Październik 2023</v>
      </c>
      <c r="E14" s="164">
        <v>4.3</v>
      </c>
      <c r="F14" s="165">
        <f>IFERROR(IF(Auto_1!$B$2="EUR(€)",VLOOKUP(D14,Auto_1!$A$6:$C$17,3,FALSE)*VLOOKUP(D14,$D$5:$E$16,2,FALSE)-VLOOKUP(D14,Auto_1!$A$6:$E$17,5,FALSE),VLOOKUP(D14,Auto_1!$A$6:$C$17,3,FALSE)-VLOOKUP(D14,Auto_1!$A$6:$E$17,5,FALSE)),0)</f>
        <v>0</v>
      </c>
      <c r="G14" s="166">
        <f>('Koszty Firmy'!V$38*Tabela180[[#This Row],[Średni kurs '[€/PLN']]])+'Koszty Firmy'!W$38</f>
        <v>0</v>
      </c>
      <c r="H14" s="167"/>
      <c r="I14" s="166">
        <f>F14-Tabela180[[#This Row],[Koszty Firmy]]+(Tabela180[[#This Row],[ZWROT VAT]]*Tabela180[[#This Row],[Średni kurs '[€/PLN']]])</f>
        <v>0</v>
      </c>
      <c r="J14" s="166">
        <f t="shared" si="1"/>
        <v>0</v>
      </c>
      <c r="K14" s="168">
        <f>Tabela180[[#This Row],[Zysk]]-Tabela180[[#This Row],[Podatek]]</f>
        <v>0</v>
      </c>
      <c r="V14" s="107" t="s">
        <v>15</v>
      </c>
      <c r="AB14" s="107" t="str">
        <f>D13</f>
        <v>Wrzesień 2023</v>
      </c>
      <c r="AC14" s="113">
        <f>IFERROR(VLOOKUP(AB14,Auto_1!$A$6:$C$17,3,FALSE),0)</f>
        <v>0</v>
      </c>
      <c r="AD14" s="113">
        <f>IFERROR(VLOOKUP(AB14,#REF!,3,FALSE),0)</f>
        <v>0</v>
      </c>
      <c r="AE14" s="113">
        <f>IFERROR(VLOOKUP(AB14,#REF!,3,FALSE),0)</f>
        <v>0</v>
      </c>
      <c r="AF14" s="113">
        <f>IFERROR(VLOOKUP(AB14,#REF!,3,FALSE),0)</f>
        <v>0</v>
      </c>
      <c r="AG14" s="113">
        <f>IFERROR(VLOOKUP(AB14,#REF!,3,FALSE),0)</f>
        <v>0</v>
      </c>
      <c r="AH14" s="113">
        <f>IFERROR(VLOOKUP(AB14,#REF!,3,FALSE),0)</f>
        <v>0</v>
      </c>
      <c r="AI14" s="113">
        <f>IFERROR(VLOOKUP(AB14,#REF!,3,FALSE),0)</f>
        <v>0</v>
      </c>
      <c r="AJ14" s="113">
        <f>IFERROR(VLOOKUP(AB14,#REF!,3,FALSE),0)</f>
        <v>0</v>
      </c>
      <c r="AK14" s="113">
        <f>IFERROR(VLOOKUP(AB14,#REF!,3,FALSE),0)</f>
        <v>0</v>
      </c>
      <c r="AL14" s="113">
        <f>IFERROR(VLOOKUP(AB14,#REF!,3,FALSE),0)</f>
        <v>0</v>
      </c>
      <c r="AM14" s="113">
        <f>IFERROR(VLOOKUP(AB14,#REF!,3,FALSE),0)</f>
        <v>0</v>
      </c>
      <c r="AN14" s="113">
        <f>IFERROR(VLOOKUP(AB14,#REF!,3,FALSE),0)</f>
        <v>0</v>
      </c>
      <c r="AO14" s="113">
        <f>IFERROR(VLOOKUP(AB14,#REF!,3,FALSE),0)</f>
        <v>0</v>
      </c>
      <c r="AP14" s="113">
        <f>IFERROR(VLOOKUP(AB14,#REF!,3,FALSE),0)</f>
        <v>0</v>
      </c>
      <c r="AQ14" s="113">
        <f>IFERROR(VLOOKUP(AB14,#REF!,3,FALSE),0)</f>
        <v>0</v>
      </c>
      <c r="AR14" s="113">
        <f t="shared" si="2"/>
        <v>0</v>
      </c>
      <c r="AV14" s="107" t="str">
        <f t="shared" si="3"/>
        <v>Wrzesień 2023</v>
      </c>
      <c r="AW14" s="113">
        <f>Auto_1!$R$343</f>
        <v>0</v>
      </c>
      <c r="AX14" s="113">
        <f>Auto_1!$R$343</f>
        <v>0</v>
      </c>
      <c r="AY14" s="113">
        <f>Auto_1!$R$343</f>
        <v>0</v>
      </c>
      <c r="AZ14" s="113">
        <f>Auto_1!$R$343</f>
        <v>0</v>
      </c>
      <c r="BA14" s="113">
        <f>Auto_1!$R$343</f>
        <v>0</v>
      </c>
    </row>
    <row r="15" spans="1:53" s="107" customFormat="1" ht="21" customHeight="1" x14ac:dyDescent="0.35">
      <c r="B15" s="115" t="s">
        <v>16</v>
      </c>
      <c r="C15" s="115">
        <v>2023</v>
      </c>
      <c r="D15" s="108" t="str">
        <f>Tabela180[[#This Row],[Miesiąc]]&amp;" "&amp;Tabela180[[#This Row],[Kolumna1]]</f>
        <v>Listopad 2023</v>
      </c>
      <c r="E15" s="106">
        <v>4.2</v>
      </c>
      <c r="F15" s="162">
        <f>IFERROR(IF(Auto_1!$B$2="EUR(€)",VLOOKUP(D15,Auto_1!$A$6:$C$17,3,FALSE)*VLOOKUP(D15,$D$5:$E$16,2,FALSE)-VLOOKUP(D15,Auto_1!$A$6:$E$17,5,FALSE),VLOOKUP(D15,Auto_1!$A$6:$C$17,3,FALSE)-VLOOKUP(D15,Auto_1!$A$6:$E$17,5,FALSE)),0)</f>
        <v>0</v>
      </c>
      <c r="G15" s="109">
        <f>('Koszty Firmy'!X$38*Tabela180[[#This Row],[Średni kurs '[€/PLN']]])+'Koszty Firmy'!Y$38</f>
        <v>0</v>
      </c>
      <c r="H15" s="110"/>
      <c r="I15" s="109">
        <f>F15-Tabela180[[#This Row],[Koszty Firmy]]+(Tabela180[[#This Row],[ZWROT VAT]]*Tabela180[[#This Row],[Średni kurs '[€/PLN']]])</f>
        <v>0</v>
      </c>
      <c r="J15" s="109">
        <f t="shared" si="1"/>
        <v>0</v>
      </c>
      <c r="K15" s="111">
        <f>Tabela180[[#This Row],[Zysk]]-Tabela180[[#This Row],[Podatek]]</f>
        <v>0</v>
      </c>
      <c r="V15" s="107" t="s">
        <v>16</v>
      </c>
      <c r="AB15" s="107" t="str">
        <f>D14</f>
        <v>Październik 2023</v>
      </c>
      <c r="AC15" s="113">
        <f>IFERROR(VLOOKUP(AB15,Auto_1!$A$6:$C$17,3,FALSE),0)</f>
        <v>0</v>
      </c>
      <c r="AD15" s="113">
        <f>IFERROR(VLOOKUP(AB15,#REF!,3,FALSE),0)</f>
        <v>0</v>
      </c>
      <c r="AE15" s="113">
        <f>IFERROR(VLOOKUP(AB15,#REF!,3,FALSE),0)</f>
        <v>0</v>
      </c>
      <c r="AF15" s="113">
        <f>IFERROR(VLOOKUP(AB15,#REF!,3,FALSE),0)</f>
        <v>0</v>
      </c>
      <c r="AG15" s="113">
        <f>IFERROR(VLOOKUP(AB15,#REF!,3,FALSE),0)</f>
        <v>0</v>
      </c>
      <c r="AH15" s="113">
        <f>IFERROR(VLOOKUP(AB15,#REF!,3,FALSE),0)</f>
        <v>0</v>
      </c>
      <c r="AI15" s="113">
        <f>IFERROR(VLOOKUP(AB15,#REF!,3,FALSE),0)</f>
        <v>0</v>
      </c>
      <c r="AJ15" s="113">
        <f>IFERROR(VLOOKUP(AB15,#REF!,3,FALSE),0)</f>
        <v>0</v>
      </c>
      <c r="AK15" s="113">
        <f>IFERROR(VLOOKUP(AB15,#REF!,3,FALSE),0)</f>
        <v>0</v>
      </c>
      <c r="AL15" s="113">
        <f>IFERROR(VLOOKUP(AB15,#REF!,3,FALSE),0)</f>
        <v>0</v>
      </c>
      <c r="AM15" s="113">
        <f>IFERROR(VLOOKUP(AB15,#REF!,3,FALSE),0)</f>
        <v>0</v>
      </c>
      <c r="AN15" s="113">
        <f>IFERROR(VLOOKUP(AB15,#REF!,3,FALSE),0)</f>
        <v>0</v>
      </c>
      <c r="AO15" s="113">
        <f>IFERROR(VLOOKUP(AB15,#REF!,3,FALSE),0)</f>
        <v>0</v>
      </c>
      <c r="AP15" s="113">
        <f>IFERROR(VLOOKUP(AB15,#REF!,3,FALSE),0)</f>
        <v>0</v>
      </c>
      <c r="AQ15" s="113">
        <f>IFERROR(VLOOKUP(AB15,#REF!,3,FALSE),0)</f>
        <v>0</v>
      </c>
      <c r="AR15" s="113">
        <f t="shared" si="2"/>
        <v>0</v>
      </c>
      <c r="AV15" s="107" t="str">
        <f t="shared" si="3"/>
        <v>Październik 2023</v>
      </c>
      <c r="AW15" s="113">
        <f>Auto_1!$R$382</f>
        <v>0</v>
      </c>
      <c r="AX15" s="113">
        <f>Auto_1!$R$382</f>
        <v>0</v>
      </c>
      <c r="AY15" s="113">
        <f>Auto_1!$R$382</f>
        <v>0</v>
      </c>
      <c r="AZ15" s="113">
        <f>Auto_1!$R$382</f>
        <v>0</v>
      </c>
      <c r="BA15" s="113">
        <f>Auto_1!$R$382</f>
        <v>0</v>
      </c>
    </row>
    <row r="16" spans="1:53" s="107" customFormat="1" ht="21" customHeight="1" x14ac:dyDescent="0.35">
      <c r="B16" s="163" t="s">
        <v>17</v>
      </c>
      <c r="C16" s="163">
        <v>2023</v>
      </c>
      <c r="D16" s="163" t="str">
        <f>Tabela180[[#This Row],[Miesiąc]]&amp;" "&amp;Tabela180[[#This Row],[Kolumna1]]</f>
        <v>Grudzień 2023</v>
      </c>
      <c r="E16" s="169">
        <v>4</v>
      </c>
      <c r="F16" s="165">
        <f>IFERROR(IF(Auto_1!$B$2="EUR(€)",VLOOKUP(D16,Auto_1!$A$6:$C$17,3,FALSE)*VLOOKUP(D16,$D$5:$E$16,2,FALSE)-VLOOKUP(D16,Auto_1!$A$6:$E$17,5,FALSE),VLOOKUP(D16,Auto_1!$A$6:$C$17,3,FALSE)-VLOOKUP(D16,Auto_1!$A$6:$E$17,5,FALSE)),0)</f>
        <v>0</v>
      </c>
      <c r="G16" s="166">
        <f>('Koszty Firmy'!Z$38*Tabela180[[#This Row],[Średni kurs '[€/PLN']]])+'Koszty Firmy'!AA$38</f>
        <v>0</v>
      </c>
      <c r="H16" s="167"/>
      <c r="I16" s="166">
        <f>F16-Tabela180[[#This Row],[Koszty Firmy]]+(Tabela180[[#This Row],[ZWROT VAT]]*Tabela180[[#This Row],[Średni kurs '[€/PLN']]])</f>
        <v>0</v>
      </c>
      <c r="J16" s="166">
        <f t="shared" si="1"/>
        <v>0</v>
      </c>
      <c r="K16" s="168">
        <f>Tabela180[[#This Row],[Zysk]]-Tabela180[[#This Row],[Podatek]]</f>
        <v>0</v>
      </c>
      <c r="V16" s="107" t="s">
        <v>17</v>
      </c>
      <c r="AB16" s="107" t="str">
        <f>D15</f>
        <v>Listopad 2023</v>
      </c>
      <c r="AC16" s="113">
        <f>IFERROR(VLOOKUP(AB16,Auto_1!$A$6:$C$17,3,FALSE),0)</f>
        <v>0</v>
      </c>
      <c r="AD16" s="113">
        <f>IFERROR(VLOOKUP(AB16,#REF!,3,FALSE),0)</f>
        <v>0</v>
      </c>
      <c r="AE16" s="113">
        <f>IFERROR(VLOOKUP(AB16,#REF!,3,FALSE),0)</f>
        <v>0</v>
      </c>
      <c r="AF16" s="113">
        <f>IFERROR(VLOOKUP(AB16,#REF!,3,FALSE),0)</f>
        <v>0</v>
      </c>
      <c r="AG16" s="113">
        <f>IFERROR(VLOOKUP(AB16,#REF!,3,FALSE),0)</f>
        <v>0</v>
      </c>
      <c r="AH16" s="113">
        <f>IFERROR(VLOOKUP(AB16,#REF!,3,FALSE),0)</f>
        <v>0</v>
      </c>
      <c r="AI16" s="113">
        <f>IFERROR(VLOOKUP(AB16,#REF!,3,FALSE),0)</f>
        <v>0</v>
      </c>
      <c r="AJ16" s="113">
        <f>IFERROR(VLOOKUP(AB16,#REF!,3,FALSE),0)</f>
        <v>0</v>
      </c>
      <c r="AK16" s="113">
        <f>IFERROR(VLOOKUP(AB16,#REF!,3,FALSE),0)</f>
        <v>0</v>
      </c>
      <c r="AL16" s="113">
        <f>IFERROR(VLOOKUP(AB16,#REF!,3,FALSE),0)</f>
        <v>0</v>
      </c>
      <c r="AM16" s="113">
        <f>IFERROR(VLOOKUP(AB16,#REF!,3,FALSE),0)</f>
        <v>0</v>
      </c>
      <c r="AN16" s="113">
        <f>IFERROR(VLOOKUP(AB16,#REF!,3,FALSE),0)</f>
        <v>0</v>
      </c>
      <c r="AO16" s="113">
        <f>IFERROR(VLOOKUP(AB16,#REF!,3,FALSE),0)</f>
        <v>0</v>
      </c>
      <c r="AP16" s="113">
        <f>IFERROR(VLOOKUP(AB16,#REF!,3,FALSE),0)</f>
        <v>0</v>
      </c>
      <c r="AQ16" s="113">
        <f>IFERROR(VLOOKUP(AB16,#REF!,3,FALSE),0)</f>
        <v>0</v>
      </c>
      <c r="AR16" s="113">
        <f t="shared" si="2"/>
        <v>0</v>
      </c>
      <c r="AV16" s="107" t="str">
        <f t="shared" si="3"/>
        <v>Listopad 2023</v>
      </c>
      <c r="AW16" s="113">
        <f>Auto_1!$R$421</f>
        <v>0</v>
      </c>
      <c r="AX16" s="113">
        <f>Auto_1!$R$421</f>
        <v>0</v>
      </c>
      <c r="AY16" s="113">
        <f>Auto_1!$R$421</f>
        <v>0</v>
      </c>
      <c r="AZ16" s="113">
        <f>Auto_1!$R$421</f>
        <v>0</v>
      </c>
      <c r="BA16" s="113">
        <f>Auto_1!$R$421</f>
        <v>0</v>
      </c>
    </row>
    <row r="17" spans="2:53" s="107" customFormat="1" ht="21" customHeight="1" thickBot="1" x14ac:dyDescent="0.4">
      <c r="B17" s="116" t="s">
        <v>36</v>
      </c>
      <c r="C17" s="116"/>
      <c r="D17" s="116"/>
      <c r="E17" s="116"/>
      <c r="F17" s="119">
        <f>SUBTOTAL(109,Tabela180[0])</f>
        <v>0</v>
      </c>
      <c r="G17" s="117">
        <f>SUBTOTAL(109,Tabela180[Koszty Firmy])</f>
        <v>0</v>
      </c>
      <c r="H17" s="118">
        <f>SUBTOTAL(109,Tabela180[ZWROT VAT])</f>
        <v>0</v>
      </c>
      <c r="I17" s="117">
        <f>SUBTOTAL(109,Tabela180[Zysk])</f>
        <v>0</v>
      </c>
      <c r="J17" s="117">
        <f>SUBTOTAL(109,Tabela180[Podatek])</f>
        <v>0</v>
      </c>
      <c r="K17" s="119">
        <f>SUBTOTAL(109,Tabela180[Zysk netto])</f>
        <v>0</v>
      </c>
      <c r="AB17" s="107" t="str">
        <f>D16</f>
        <v>Grudzień 2023</v>
      </c>
      <c r="AC17" s="113">
        <f>IFERROR(VLOOKUP(AB17,Auto_1!$A$6:$C$17,3,FALSE),0)</f>
        <v>0</v>
      </c>
      <c r="AD17" s="113">
        <f>IFERROR(VLOOKUP(AB17,#REF!,3,FALSE),0)</f>
        <v>0</v>
      </c>
      <c r="AE17" s="113">
        <f>IFERROR(VLOOKUP(AB17,#REF!,3,FALSE),0)</f>
        <v>0</v>
      </c>
      <c r="AF17" s="113">
        <f>IFERROR(VLOOKUP(AB17,#REF!,3,FALSE),0)</f>
        <v>0</v>
      </c>
      <c r="AG17" s="113">
        <f>IFERROR(VLOOKUP(AB17,#REF!,3,FALSE),0)</f>
        <v>0</v>
      </c>
      <c r="AH17" s="113">
        <f>IFERROR(VLOOKUP(AB17,#REF!,3,FALSE),0)</f>
        <v>0</v>
      </c>
      <c r="AI17" s="113">
        <f>IFERROR(VLOOKUP(AB17,#REF!,3,FALSE),0)</f>
        <v>0</v>
      </c>
      <c r="AJ17" s="113">
        <f>IFERROR(VLOOKUP(AB17,#REF!,3,FALSE),0)</f>
        <v>0</v>
      </c>
      <c r="AK17" s="113">
        <f>IFERROR(VLOOKUP(AB17,#REF!,3,FALSE),0)</f>
        <v>0</v>
      </c>
      <c r="AL17" s="113">
        <f>IFERROR(VLOOKUP(AB17,#REF!,3,FALSE),0)</f>
        <v>0</v>
      </c>
      <c r="AM17" s="113">
        <f>IFERROR(VLOOKUP(AB17,#REF!,3,FALSE),0)</f>
        <v>0</v>
      </c>
      <c r="AN17" s="113">
        <f>IFERROR(VLOOKUP(AB17,#REF!,3,FALSE),0)</f>
        <v>0</v>
      </c>
      <c r="AO17" s="113">
        <f>IFERROR(VLOOKUP(AB17,#REF!,3,FALSE),0)</f>
        <v>0</v>
      </c>
      <c r="AP17" s="113">
        <f>IFERROR(VLOOKUP(AB17,#REF!,3,FALSE),0)</f>
        <v>0</v>
      </c>
      <c r="AQ17" s="113">
        <f>IFERROR(VLOOKUP(AB17,#REF!,3,FALSE),0)</f>
        <v>0</v>
      </c>
      <c r="AR17" s="113">
        <f>SUM(AC17:AQ17)</f>
        <v>0</v>
      </c>
      <c r="AV17" s="107" t="str">
        <f t="shared" si="3"/>
        <v>Grudzień 2023</v>
      </c>
      <c r="AW17" s="113">
        <f>Auto_1!$R$460</f>
        <v>0</v>
      </c>
      <c r="AX17" s="113">
        <f>Auto_1!$R$460</f>
        <v>0</v>
      </c>
      <c r="AY17" s="113">
        <f>Auto_1!$R$460</f>
        <v>0</v>
      </c>
      <c r="AZ17" s="113">
        <f>Auto_1!$R$460</f>
        <v>0</v>
      </c>
      <c r="BA17" s="113">
        <f>Auto_1!$R$460</f>
        <v>0</v>
      </c>
    </row>
    <row r="18" spans="2:53" x14ac:dyDescent="0.25">
      <c r="AC18" s="8"/>
      <c r="AD18" s="8"/>
      <c r="AE18" s="8"/>
      <c r="AF18" s="8"/>
      <c r="AG18" s="8"/>
      <c r="AH18" s="8"/>
      <c r="AI18" s="8"/>
      <c r="AJ18" s="8"/>
      <c r="AK18" s="8"/>
      <c r="AL18" s="8"/>
      <c r="AM18" s="8"/>
      <c r="AN18" s="8"/>
      <c r="AO18" s="8"/>
      <c r="AP18" s="8"/>
      <c r="AQ18" s="8"/>
    </row>
    <row r="19" spans="2:53" x14ac:dyDescent="0.25"/>
    <row r="20" spans="2:53" x14ac:dyDescent="0.25"/>
    <row r="21" spans="2:53" x14ac:dyDescent="0.25"/>
    <row r="22" spans="2:53" x14ac:dyDescent="0.25">
      <c r="B22" s="14"/>
      <c r="C22" s="14"/>
      <c r="D22" s="14"/>
    </row>
    <row r="23" spans="2:53" x14ac:dyDescent="0.25"/>
    <row r="24" spans="2:53" x14ac:dyDescent="0.25"/>
    <row r="25" spans="2:53" x14ac:dyDescent="0.25"/>
  </sheetData>
  <sheetProtection algorithmName="SHA-512" hashValue="dMgaocHa482jM4VJ/kvsvKsUrr9/3OuS6JvDemdPb+CA0/QpeZQXs2+ODyybR9ooNQKQMT5CG/ZOlnbmMfH1Bw==" saltValue="sySQ+/+pl7kwx62VImaaMw==" spinCount="100000" sheet="1" objects="1" scenarios="1"/>
  <phoneticPr fontId="5" type="noConversion"/>
  <dataValidations count="3">
    <dataValidation type="list" allowBlank="1" showInputMessage="1" showErrorMessage="1" sqref="E1:E2 B1 B2:D2" xr:uid="{522AC904-5C69-4DE8-95CE-300E724EE7CB}">
      <formula1>$T$5:$T$10</formula1>
    </dataValidation>
    <dataValidation type="list" allowBlank="1" showInputMessage="1" showErrorMessage="1" sqref="C5:C16" xr:uid="{945DABBD-106D-4621-A4E7-E672975A9CE2}">
      <formula1>$W$5:$W$6</formula1>
    </dataValidation>
    <dataValidation type="list" allowBlank="1" showInputMessage="1" showErrorMessage="1" sqref="B5:B16" xr:uid="{3219B5E1-BEF9-4516-9E36-545A5216F1E8}">
      <formula1>$V$5:$V$16</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47EC2-D0DA-45DD-83D0-C9078E8E4AB8}">
  <sheetPr codeName="Arkusz10">
    <tabColor rgb="FF497174"/>
  </sheetPr>
  <dimension ref="A1:Q23"/>
  <sheetViews>
    <sheetView zoomScaleNormal="100" workbookViewId="0">
      <selection activeCell="A24" sqref="A24:XFD64"/>
    </sheetView>
  </sheetViews>
  <sheetFormatPr defaultColWidth="0" defaultRowHeight="15" zeroHeight="1" x14ac:dyDescent="0.25"/>
  <cols>
    <col min="1" max="1" width="5.28515625" style="1" customWidth="1"/>
    <col min="2" max="2" width="4.28515625" style="1" customWidth="1"/>
    <col min="3" max="17" width="8.85546875" style="1" customWidth="1"/>
    <col min="18" max="16384" width="8.85546875"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sheetData>
  <sheetProtection algorithmName="SHA-512" hashValue="A3yfND0wa8Ey7oxIVujYIwmTiLjPb4OBga2tQ9jISECBC3N0UOMaZvbKdYA/LKxif6HHaQBDNjnJeQGc3Sz2dQ==" saltValue="Tqg3mbr0JC4dHWb0GtqP3Q==" spinCount="100000" sheet="1" insertHyperlinks="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Jak_używać</vt:lpstr>
      <vt:lpstr>Auto_1</vt:lpstr>
      <vt:lpstr>Koszty Firmy</vt:lpstr>
      <vt:lpstr>Wyniki</vt:lpstr>
      <vt:lpstr>WYKRESY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dc:creator>
  <cp:lastModifiedBy>Krzysztof</cp:lastModifiedBy>
  <dcterms:created xsi:type="dcterms:W3CDTF">2015-06-05T18:19:34Z</dcterms:created>
  <dcterms:modified xsi:type="dcterms:W3CDTF">2022-11-15T21:26:56Z</dcterms:modified>
</cp:coreProperties>
</file>